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計測入力シート（ここのみ編集可）" sheetId="1" r:id="rId5"/>
    <sheet state="visible" name="動画用リザルト" sheetId="2" r:id="rId6"/>
    <sheet state="visible" name="全体リザルト" sheetId="3" r:id="rId7"/>
    <sheet state="visible" name="タイム記録表" sheetId="4" r:id="rId8"/>
    <sheet state="visible" name="DB(読み込みシート※編集厳禁)" sheetId="5" r:id="rId9"/>
    <sheet state="visible" name="ゼッケン番号設定シート" sheetId="6" r:id="rId10"/>
    <sheet state="visible" name="Aクラスリザルト" sheetId="7" r:id="rId11"/>
    <sheet state="visible" name="Bクラスリザルト" sheetId="8" r:id="rId12"/>
    <sheet state="visible" name="C1クラスリザルト" sheetId="9" r:id="rId13"/>
    <sheet state="visible" name="C2クラスリザルト" sheetId="10" r:id="rId14"/>
    <sheet state="visible" name="Dクラスリザルト" sheetId="11" r:id="rId15"/>
    <sheet state="visible" name="Rクラスリザルト" sheetId="12" r:id="rId16"/>
    <sheet state="visible" name="Nクラスリザルト" sheetId="13" r:id="rId17"/>
    <sheet state="visible" name="NLクラスリザルト" sheetId="14" r:id="rId18"/>
    <sheet state="visible" name="エントリー管理用シート のコピー" sheetId="15" r:id="rId19"/>
  </sheets>
  <definedNames/>
  <calcPr/>
</workbook>
</file>

<file path=xl/sharedStrings.xml><?xml version="1.0" encoding="utf-8"?>
<sst xmlns="http://schemas.openxmlformats.org/spreadsheetml/2006/main" count="4675" uniqueCount="159">
  <si>
    <t>仮想トップライダー（手動）</t>
  </si>
  <si>
    <t>クラス</t>
  </si>
  <si>
    <t>ゼッケン</t>
  </si>
  <si>
    <t>名前</t>
  </si>
  <si>
    <t>車両</t>
  </si>
  <si>
    <t>想定ベストタイム</t>
  </si>
  <si>
    <t>仮想
トップ</t>
  </si>
  <si>
    <t>タイム</t>
  </si>
  <si>
    <t>P</t>
  </si>
  <si>
    <t>MC</t>
  </si>
  <si>
    <t>分</t>
  </si>
  <si>
    <t>秒</t>
  </si>
  <si>
    <t>コンマ</t>
  </si>
  <si>
    <t>某チャンプ</t>
  </si>
  <si>
    <t>NSR250R</t>
  </si>
  <si>
    <t>-</t>
  </si>
  <si>
    <t>現在トップタイム（自動）</t>
  </si>
  <si>
    <t>選手名</t>
  </si>
  <si>
    <t>車両名</t>
  </si>
  <si>
    <t>色</t>
  </si>
  <si>
    <t>1H</t>
  </si>
  <si>
    <t>2H</t>
  </si>
  <si>
    <t>現在トップ</t>
  </si>
  <si>
    <t>管理番号</t>
  </si>
  <si>
    <t>ベスト</t>
  </si>
  <si>
    <t>タイム比</t>
  </si>
  <si>
    <t>仮想タイム比</t>
  </si>
  <si>
    <t>1Hタイム</t>
  </si>
  <si>
    <t>2Hタイム</t>
  </si>
  <si>
    <t>トップタイム</t>
  </si>
  <si>
    <t>順位用</t>
  </si>
  <si>
    <t>順位</t>
  </si>
  <si>
    <t>クラス順位</t>
  </si>
  <si>
    <t>現在クラス</t>
  </si>
  <si>
    <t>タイム入力用欄</t>
  </si>
  <si>
    <t>エントリー情報</t>
  </si>
  <si>
    <t>1Hリザルト</t>
  </si>
  <si>
    <t>2Hリザルト</t>
  </si>
  <si>
    <t>最新タイム</t>
  </si>
  <si>
    <t>1H
生タイム</t>
  </si>
  <si>
    <t>1H
タイム</t>
  </si>
  <si>
    <t>1H
ペナ表記</t>
  </si>
  <si>
    <t>2H
生タイム</t>
  </si>
  <si>
    <t>2H
タイム</t>
  </si>
  <si>
    <t>2H
ペナ表記</t>
  </si>
  <si>
    <t>計算用
ベストタイム</t>
  </si>
  <si>
    <t>順位数値</t>
  </si>
  <si>
    <t>総合順位表示</t>
  </si>
  <si>
    <t>同率・リタイア
対応順位用</t>
  </si>
  <si>
    <t>総合順位</t>
  </si>
  <si>
    <t>総合順位
表示</t>
  </si>
  <si>
    <t>クラス別表示
順位</t>
  </si>
  <si>
    <t>セパハン
順位</t>
  </si>
  <si>
    <t>セパハン
表示順位</t>
  </si>
  <si>
    <t>ミニ
順位</t>
  </si>
  <si>
    <t>ミニ
表示順位</t>
  </si>
  <si>
    <t>入力用</t>
  </si>
  <si>
    <t>確認用</t>
  </si>
  <si>
    <t>総合表示係数</t>
  </si>
  <si>
    <t>特別クラス</t>
  </si>
  <si>
    <t>生タイム</t>
  </si>
  <si>
    <t>クラス分け</t>
  </si>
  <si>
    <t>表示順番</t>
  </si>
  <si>
    <t>係数</t>
  </si>
  <si>
    <t>セパハン</t>
  </si>
  <si>
    <t>ミニ</t>
  </si>
  <si>
    <t>D</t>
  </si>
  <si>
    <t>A</t>
  </si>
  <si>
    <t>R</t>
  </si>
  <si>
    <t>B</t>
  </si>
  <si>
    <t>N</t>
  </si>
  <si>
    <t>C1</t>
  </si>
  <si>
    <t>NL</t>
  </si>
  <si>
    <t>C2</t>
  </si>
  <si>
    <t>2H関数</t>
  </si>
  <si>
    <t>TOP TIME</t>
  </si>
  <si>
    <t>CLASS TIME</t>
  </si>
  <si>
    <t>2025年3月9日_第1回【にじチャレ！】全体リザルト</t>
  </si>
  <si>
    <t>ベストタイム</t>
  </si>
  <si>
    <t>想定
タイム比</t>
  </si>
  <si>
    <t>クラス
順位</t>
  </si>
  <si>
    <t>セパハン
クラス順位</t>
  </si>
  <si>
    <t>ミニ
クラス順位</t>
  </si>
  <si>
    <t>総合
順位</t>
  </si>
  <si>
    <t>ペナルティ</t>
  </si>
  <si>
    <t>総合</t>
  </si>
  <si>
    <t>自動発番</t>
  </si>
  <si>
    <t>手動</t>
  </si>
  <si>
    <t>エントリーフォームから貼り付け</t>
  </si>
  <si>
    <t>No.</t>
  </si>
  <si>
    <t>ゼッケン番号(自動)</t>
  </si>
  <si>
    <t>キャンセル</t>
  </si>
  <si>
    <t>お仕事</t>
  </si>
  <si>
    <t>タイムスタンプ</t>
  </si>
  <si>
    <t>参加同意</t>
  </si>
  <si>
    <t>選手名判定</t>
  </si>
  <si>
    <t>住所</t>
  </si>
  <si>
    <t>電話番号</t>
  </si>
  <si>
    <t>メールアドレス</t>
  </si>
  <si>
    <t>緊急連絡先</t>
  </si>
  <si>
    <t>コメント</t>
  </si>
  <si>
    <t>質問内容</t>
  </si>
  <si>
    <t>エントリー数(自動入力)</t>
  </si>
  <si>
    <t>前走クラス人数</t>
  </si>
  <si>
    <t>エントリークラス</t>
  </si>
  <si>
    <t>出走準（手入力）</t>
  </si>
  <si>
    <t>エントリーリスト表示順(手入力)</t>
  </si>
  <si>
    <t>Ｂ</t>
  </si>
  <si>
    <t>Ａ</t>
  </si>
  <si>
    <t>第1回【にじチャレ！】
Aクラスリザルト</t>
  </si>
  <si>
    <t>1H
ペナルティ</t>
  </si>
  <si>
    <t>2H
ペナルティ</t>
  </si>
  <si>
    <t>ベスト
タイム</t>
  </si>
  <si>
    <t>第1回【にじチャレ！】
Bクラスリザルト</t>
  </si>
  <si>
    <t>第1回【にじチャレ！】
C1クラスリザルト</t>
  </si>
  <si>
    <t>第1回【にじチャレ！】
C2クラスリザルト</t>
  </si>
  <si>
    <t>テスト</t>
  </si>
  <si>
    <t>第1回【にじチャレ！】
Dクラスリザルト</t>
  </si>
  <si>
    <t>第1回【にじチャレ！】
Rクラスリザルト</t>
  </si>
  <si>
    <t>フォームスプシのURLを貼り付け⇒</t>
  </si>
  <si>
    <t>https://docs.google.com/spreadsheets/d/1APhJfj6MAI2cXBvA8l5lKwKjOVEHmbiLoW98OqxDnJM/edit?gid=1462815136#gid=1462815136</t>
  </si>
  <si>
    <t>表示順</t>
  </si>
  <si>
    <t>グループ判定</t>
  </si>
  <si>
    <t>表示用</t>
  </si>
  <si>
    <t>出走準</t>
  </si>
  <si>
    <t>グループ出走準</t>
  </si>
  <si>
    <t>グループ未確定カウント</t>
  </si>
  <si>
    <t>Aグループカウント</t>
  </si>
  <si>
    <t>Bグループカウント</t>
  </si>
  <si>
    <r>
      <rPr>
        <rFont val="Arial"/>
        <color theme="1"/>
      </rPr>
      <t xml:space="preserve">参加・
キャンセル
</t>
    </r>
    <r>
      <rPr>
        <rFont val="Arial"/>
        <b/>
        <color rgb="FFFF0000"/>
      </rPr>
      <t>（参加を選択するとエントリーリストに反映)</t>
    </r>
  </si>
  <si>
    <t>Aグループ
出走順</t>
  </si>
  <si>
    <t>Bグループ
出走順</t>
  </si>
  <si>
    <t>参加申込</t>
  </si>
  <si>
    <t>参加区分</t>
  </si>
  <si>
    <t>参加名</t>
  </si>
  <si>
    <t>自走or
トランポ</t>
  </si>
  <si>
    <t>シード認定</t>
  </si>
  <si>
    <t>MC
コメント</t>
  </si>
  <si>
    <t>お問い合わせ・ご質問など</t>
  </si>
  <si>
    <t>スタッフ/直接登録用1（手入力OK）→</t>
  </si>
  <si>
    <t>おかー</t>
  </si>
  <si>
    <t>YZ250X/青</t>
  </si>
  <si>
    <t>C1級</t>
  </si>
  <si>
    <t>コメント未入力</t>
  </si>
  <si>
    <t>スタッフ/直接登録用2（手入力OK）→</t>
  </si>
  <si>
    <t>しょこら</t>
  </si>
  <si>
    <t>GSX-R600/青白</t>
  </si>
  <si>
    <t>スタッフ/直接登録用3（手入力OK）→</t>
  </si>
  <si>
    <t>すちんぐれ</t>
  </si>
  <si>
    <t>VTR/黒</t>
  </si>
  <si>
    <t>D級（にじれん！認定）</t>
  </si>
  <si>
    <t>スタッフ/直接登録用4（手入力OK）→</t>
  </si>
  <si>
    <t>スタッフ/直接登録用5（手入力OK）→</t>
  </si>
  <si>
    <t>スタッフ/直接登録用6（手入力OK）→</t>
  </si>
  <si>
    <t>スタッフ/直接登録用7（手入力OK）→</t>
  </si>
  <si>
    <t>スタッフ/直接登録用8（手入力OK）→</t>
  </si>
  <si>
    <t>スタッフ/直接登録用9（手入力OK）→</t>
  </si>
  <si>
    <t>スタッフ/直接登録用10（手入力OK）→</t>
  </si>
  <si>
    <t>↓下記より参加フォームのスプレッドシートより自動連携　※数式変更禁止（修正が必要な場合は直接登録用から手動登録し下記はキャンセル処理で対応すること）</t>
  </si>
</sst>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000000"/>
    <numFmt numFmtId="165" formatCode="00"/>
    <numFmt numFmtId="166" formatCode="000"/>
    <numFmt numFmtId="167" formatCode="0.0%"/>
    <numFmt numFmtId="168" formatCode="m/d/yyyy h:mm:ss"/>
  </numFmts>
  <fonts count="50">
    <font>
      <sz val="10.0"/>
      <color rgb="FF000000"/>
      <name val="Arial"/>
      <scheme val="minor"/>
    </font>
    <font>
      <sz val="10.0"/>
      <color theme="1"/>
      <name val="Meiryo"/>
    </font>
    <font>
      <b/>
      <sz val="10.0"/>
      <color theme="1"/>
      <name val="Meiryo"/>
    </font>
    <font/>
    <font>
      <sz val="11.0"/>
      <color theme="1"/>
      <name val="Arial"/>
      <scheme val="minor"/>
    </font>
    <font>
      <sz val="7.0"/>
      <color theme="1"/>
      <name val="Meiryo"/>
    </font>
    <font>
      <b/>
      <sz val="10.0"/>
      <color rgb="FFFFFFFF"/>
      <name val="Meiryo"/>
    </font>
    <font>
      <color theme="1"/>
      <name val="Meiryo"/>
    </font>
    <font>
      <b/>
      <color rgb="FFFFFFFF"/>
      <name val="Arial"/>
    </font>
    <font>
      <b/>
      <sz val="7.0"/>
      <color theme="1"/>
      <name val="Meiryo"/>
    </font>
    <font>
      <color theme="1"/>
      <name val="Arial"/>
      <scheme val="minor"/>
    </font>
    <font>
      <b/>
      <sz val="19.0"/>
      <color rgb="FF000000"/>
      <name val="Arial"/>
      <scheme val="minor"/>
    </font>
    <font>
      <b/>
      <sz val="13.0"/>
      <color rgb="FF000000"/>
      <name val="Arial"/>
      <scheme val="minor"/>
    </font>
    <font>
      <b/>
      <sz val="13.0"/>
      <color theme="1"/>
      <name val="Meiryo"/>
    </font>
    <font>
      <b/>
      <sz val="7.0"/>
      <color rgb="FF000000"/>
      <name val="Meiryo"/>
    </font>
    <font>
      <b/>
      <sz val="10.0"/>
      <color rgb="FF000000"/>
      <name val="Meiryo"/>
    </font>
    <font>
      <sz val="9.0"/>
      <color theme="1"/>
      <name val="Meiryo"/>
    </font>
    <font>
      <color rgb="FF434343"/>
      <name val="Meiryo"/>
    </font>
    <font>
      <color theme="1"/>
      <name val="Arial"/>
    </font>
    <font>
      <sz val="6.0"/>
      <color theme="1"/>
      <name val="Meiryo"/>
    </font>
    <font>
      <b/>
      <sz val="11.0"/>
      <color rgb="FFFFFFFF"/>
      <name val="Arial"/>
      <scheme val="minor"/>
    </font>
    <font>
      <sz val="14.0"/>
      <color theme="1"/>
      <name val="Roboto"/>
    </font>
    <font>
      <b/>
      <sz val="11.0"/>
      <color theme="0"/>
      <name val="Roboto"/>
    </font>
    <font>
      <sz val="15.0"/>
      <color theme="0"/>
      <name val="Impact"/>
    </font>
    <font>
      <b/>
      <sz val="11.0"/>
      <color theme="1"/>
      <name val="Arial"/>
      <scheme val="minor"/>
    </font>
    <font>
      <b/>
      <sz val="11.0"/>
      <color rgb="FFF3F3F3"/>
      <name val="Roboto"/>
    </font>
    <font>
      <sz val="18.0"/>
      <color rgb="FFF3F3F3"/>
      <name val="Impact"/>
    </font>
    <font>
      <b/>
      <sz val="18.0"/>
      <color rgb="FFFFFFFF"/>
      <name val="Arial"/>
      <scheme val="minor"/>
    </font>
    <font>
      <b/>
      <sz val="9.0"/>
      <color rgb="FFFFFFFF"/>
      <name val="Arial"/>
      <scheme val="minor"/>
    </font>
    <font>
      <b/>
      <sz val="8.0"/>
      <color rgb="FFFFFFFF"/>
      <name val="Arial"/>
      <scheme val="minor"/>
    </font>
    <font>
      <sz val="14.0"/>
      <color theme="1"/>
      <name val="Arial"/>
      <scheme val="minor"/>
    </font>
    <font>
      <b/>
      <sz val="12.0"/>
      <color theme="1"/>
      <name val="Arial"/>
      <scheme val="minor"/>
    </font>
    <font>
      <b/>
      <sz val="14.0"/>
      <color theme="1"/>
      <name val="Arial"/>
      <scheme val="minor"/>
    </font>
    <font>
      <b/>
      <sz val="10.0"/>
      <color rgb="FFFFFFFF"/>
      <name val="Arial"/>
      <scheme val="minor"/>
    </font>
    <font>
      <b/>
      <sz val="7.0"/>
      <color rgb="FFFFFFFF"/>
      <name val="Arial"/>
      <scheme val="minor"/>
    </font>
    <font>
      <sz val="10.0"/>
      <color theme="1"/>
      <name val="Arial"/>
      <scheme val="minor"/>
    </font>
    <font>
      <b/>
      <color theme="1"/>
      <name val="Arial"/>
      <scheme val="minor"/>
    </font>
    <font>
      <b/>
      <color theme="1"/>
      <name val="Arial"/>
    </font>
    <font>
      <color rgb="FF434343"/>
      <name val="Roboto"/>
    </font>
    <font>
      <b/>
      <sz val="14.0"/>
      <color rgb="FFFFFFFF"/>
      <name val="Arial"/>
      <scheme val="minor"/>
    </font>
    <font>
      <b/>
      <sz val="8.0"/>
      <color theme="1"/>
      <name val="Arial"/>
      <scheme val="minor"/>
    </font>
    <font>
      <b/>
      <sz val="7.0"/>
      <color theme="1"/>
      <name val="Arial"/>
      <scheme val="minor"/>
    </font>
    <font>
      <b/>
      <sz val="9.0"/>
      <color theme="1"/>
      <name val="Arial"/>
      <scheme val="minor"/>
    </font>
    <font>
      <b/>
      <sz val="10.0"/>
      <color theme="1"/>
      <name val="Arial"/>
      <scheme val="minor"/>
    </font>
    <font>
      <b/>
      <sz val="13.0"/>
      <color theme="1"/>
      <name val="Arial"/>
      <scheme val="minor"/>
    </font>
    <font>
      <sz val="8.0"/>
      <color theme="1"/>
      <name val="Arial"/>
      <scheme val="minor"/>
    </font>
    <font>
      <b/>
      <sz val="14.0"/>
      <color rgb="FF000000"/>
      <name val="Arial"/>
      <scheme val="minor"/>
    </font>
    <font>
      <b/>
      <color rgb="FFFF0000"/>
      <name val="Arial"/>
      <scheme val="minor"/>
    </font>
    <font>
      <b/>
      <u/>
      <color rgb="FF0000FF"/>
    </font>
    <font>
      <b/>
      <color rgb="FFFFFFFF"/>
      <name val="Arial"/>
      <scheme val="minor"/>
    </font>
  </fonts>
  <fills count="22">
    <fill>
      <patternFill patternType="none"/>
    </fill>
    <fill>
      <patternFill patternType="lightGray"/>
    </fill>
    <fill>
      <patternFill patternType="solid">
        <fgColor rgb="FFFFFF00"/>
        <bgColor rgb="FFFFFF00"/>
      </patternFill>
    </fill>
    <fill>
      <patternFill patternType="solid">
        <fgColor rgb="FFD9EAD3"/>
        <bgColor rgb="FFD9EAD3"/>
      </patternFill>
    </fill>
    <fill>
      <patternFill patternType="solid">
        <fgColor rgb="FF000000"/>
        <bgColor rgb="FF000000"/>
      </patternFill>
    </fill>
    <fill>
      <patternFill patternType="solid">
        <fgColor rgb="FFD9D2E9"/>
        <bgColor rgb="FFD9D2E9"/>
      </patternFill>
    </fill>
    <fill>
      <patternFill patternType="solid">
        <fgColor rgb="FFFFFFFF"/>
        <bgColor rgb="FFFFFFFF"/>
      </patternFill>
    </fill>
    <fill>
      <patternFill patternType="solid">
        <fgColor rgb="FF666666"/>
        <bgColor rgb="FF666666"/>
      </patternFill>
    </fill>
    <fill>
      <patternFill patternType="solid">
        <fgColor rgb="FF434343"/>
        <bgColor rgb="FF434343"/>
      </patternFill>
    </fill>
    <fill>
      <patternFill patternType="solid">
        <fgColor rgb="FFCFE2F3"/>
        <bgColor rgb="FFCFE2F3"/>
      </patternFill>
    </fill>
    <fill>
      <patternFill patternType="solid">
        <fgColor rgb="FFFFF2CC"/>
        <bgColor rgb="FFFFF2CC"/>
      </patternFill>
    </fill>
    <fill>
      <patternFill patternType="solid">
        <fgColor rgb="FFCC0000"/>
        <bgColor rgb="FFCC0000"/>
      </patternFill>
    </fill>
    <fill>
      <patternFill patternType="solid">
        <fgColor rgb="FFEFEFEF"/>
        <bgColor rgb="FFEFEFEF"/>
      </patternFill>
    </fill>
    <fill>
      <patternFill patternType="solid">
        <fgColor rgb="FFD0E0E3"/>
        <bgColor rgb="FFD0E0E3"/>
      </patternFill>
    </fill>
    <fill>
      <patternFill patternType="solid">
        <fgColor rgb="FF1155CC"/>
        <bgColor rgb="FF1155CC"/>
      </patternFill>
    </fill>
    <fill>
      <patternFill patternType="solid">
        <fgColor rgb="FF38761D"/>
        <bgColor rgb="FF38761D"/>
      </patternFill>
    </fill>
    <fill>
      <patternFill patternType="solid">
        <fgColor rgb="FF00FF00"/>
        <bgColor rgb="FF00FF00"/>
      </patternFill>
    </fill>
    <fill>
      <patternFill patternType="solid">
        <fgColor rgb="FFE69138"/>
        <bgColor rgb="FFE69138"/>
      </patternFill>
    </fill>
    <fill>
      <patternFill patternType="solid">
        <fgColor rgb="FFFF00FF"/>
        <bgColor rgb="FFFF00FF"/>
      </patternFill>
    </fill>
    <fill>
      <patternFill patternType="solid">
        <fgColor rgb="FFFF3D7E"/>
        <bgColor rgb="FFFF3D7E"/>
      </patternFill>
    </fill>
    <fill>
      <patternFill patternType="solid">
        <fgColor rgb="FFD9D9D9"/>
        <bgColor rgb="FFD9D9D9"/>
      </patternFill>
    </fill>
    <fill>
      <patternFill patternType="solid">
        <fgColor rgb="FFF8F9FA"/>
        <bgColor rgb="FFF8F9FA"/>
      </patternFill>
    </fill>
  </fills>
  <borders count="157">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left style="medium">
        <color rgb="FF000000"/>
      </left>
    </border>
    <border>
      <left style="thick">
        <color rgb="FF000000"/>
      </left>
      <top style="thick">
        <color rgb="FF000000"/>
      </top>
    </border>
    <border>
      <right style="thin">
        <color rgb="FF000000"/>
      </right>
      <top style="thick">
        <color rgb="FF000000"/>
      </top>
    </border>
    <border>
      <left style="thin">
        <color rgb="FF000000"/>
      </left>
      <right style="thin">
        <color rgb="FF000000"/>
      </right>
      <top style="thick">
        <color rgb="FF000000"/>
      </top>
    </border>
    <border>
      <left style="thin">
        <color rgb="FF000000"/>
      </left>
      <right style="thick">
        <color rgb="FF000000"/>
      </right>
      <top style="thick">
        <color rgb="FF000000"/>
      </top>
    </border>
    <border>
      <top style="thick">
        <color rgb="FF000000"/>
      </top>
    </border>
    <border>
      <right style="thick">
        <color rgb="FF000000"/>
      </right>
      <top style="thick">
        <color rgb="FF000000"/>
      </top>
    </border>
    <border>
      <left style="thick">
        <color rgb="FF000000"/>
      </left>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
      <left style="thin">
        <color rgb="FF000000"/>
      </left>
      <right style="thick">
        <color rgb="FF000000"/>
      </right>
      <bottom style="thin">
        <color rgb="FF000000"/>
      </bottom>
    </border>
    <border>
      <bottom style="thin">
        <color rgb="FF000000"/>
      </bottom>
    </border>
    <border>
      <left style="thick">
        <color rgb="FF000000"/>
      </left>
      <right style="medium">
        <color rgb="FF000000"/>
      </right>
      <top style="medium">
        <color rgb="FF000000"/>
      </top>
      <bottom style="thin">
        <color rgb="FF000000"/>
      </bottom>
    </border>
    <border>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thick">
        <color rgb="FF000000"/>
      </right>
      <top style="thin">
        <color rgb="FF000000"/>
      </top>
      <bottom style="medium">
        <color rgb="FF000000"/>
      </bottom>
    </border>
    <border>
      <left style="thick">
        <color rgb="FF000000"/>
      </left>
      <right style="thin">
        <color rgb="FF000000"/>
      </right>
      <bottom style="thick">
        <color rgb="FF000000"/>
      </bottom>
    </border>
    <border>
      <left style="thin">
        <color rgb="FF000000"/>
      </left>
      <right style="thin">
        <color rgb="FF000000"/>
      </right>
      <bottom style="thick">
        <color rgb="FF000000"/>
      </bottom>
    </border>
    <border>
      <left style="thin">
        <color rgb="FF000000"/>
      </left>
      <right style="thick">
        <color rgb="FF000000"/>
      </right>
      <bottom style="thick">
        <color rgb="FF000000"/>
      </bottom>
    </border>
    <border>
      <bottom style="thick">
        <color rgb="FF000000"/>
      </bottom>
    </border>
    <border>
      <left style="thick">
        <color rgb="FF000000"/>
      </left>
      <right style="medium">
        <color rgb="FF000000"/>
      </right>
      <bottom style="thick">
        <color rgb="FF000000"/>
      </bottom>
    </border>
    <border>
      <right style="thin">
        <color rgb="FF000000"/>
      </right>
      <bottom style="thick">
        <color rgb="FF000000"/>
      </bottom>
    </border>
    <border>
      <left style="thin">
        <color rgb="FF000000"/>
      </left>
      <bottom style="thick">
        <color rgb="FF000000"/>
      </bottom>
    </border>
    <border>
      <left style="thin">
        <color rgb="FF000000"/>
      </left>
      <right style="hair">
        <color rgb="FF000000"/>
      </right>
      <bottom style="thick">
        <color rgb="FF000000"/>
      </bottom>
    </border>
    <border>
      <left style="hair">
        <color rgb="FF000000"/>
      </left>
      <right style="thin">
        <color rgb="FF000000"/>
      </right>
      <bottom style="thick">
        <color rgb="FF000000"/>
      </bottom>
    </border>
    <border>
      <left style="hair">
        <color rgb="FF000000"/>
      </left>
      <right style="thick">
        <color rgb="FF000000"/>
      </right>
      <bottom style="thick">
        <color rgb="FF000000"/>
      </bottom>
    </border>
    <border>
      <right style="double">
        <color rgb="FF000000"/>
      </right>
    </border>
    <border>
      <left style="thick">
        <color rgb="FF000000"/>
      </left>
    </border>
    <border>
      <right style="thin">
        <color rgb="FF000000"/>
      </right>
    </border>
    <border>
      <left style="thin">
        <color rgb="FF000000"/>
      </left>
      <right style="thin">
        <color rgb="FF000000"/>
      </right>
    </border>
    <border>
      <left style="thin">
        <color rgb="FF000000"/>
      </left>
    </border>
    <border>
      <right style="double">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n">
        <color rgb="FF000000"/>
      </bottom>
    </border>
    <border>
      <right style="medium">
        <color rgb="FF000000"/>
      </right>
      <bottom style="thin">
        <color rgb="FF000000"/>
      </bottom>
    </border>
    <border>
      <left style="medium">
        <color rgb="FF000000"/>
      </left>
      <right style="medium">
        <color rgb="FF000000"/>
      </right>
      <top style="medium">
        <color rgb="FF000000"/>
      </top>
      <bottom style="thin">
        <color rgb="FF000000"/>
      </bottom>
    </border>
    <border>
      <left style="thin">
        <color rgb="FF000000"/>
      </left>
      <bottom style="thin">
        <color rgb="FF000000"/>
      </bottom>
    </border>
    <border>
      <left style="thick">
        <color rgb="FF000000"/>
      </left>
      <top style="thin">
        <color rgb="FF000000"/>
      </top>
      <bottom style="thin">
        <color rgb="FF000000"/>
      </bottom>
    </border>
    <border>
      <right style="thick">
        <color rgb="FF000000"/>
      </right>
      <bottom style="thick">
        <color rgb="FF000000"/>
      </bottom>
    </border>
    <border>
      <right style="medium">
        <color rgb="FF000000"/>
      </right>
      <bottom style="thick">
        <color rgb="FF000000"/>
      </bottom>
    </border>
    <border>
      <left style="medium">
        <color rgb="FF000000"/>
      </left>
      <right style="medium">
        <color rgb="FF000000"/>
      </right>
      <bottom style="thick">
        <color rgb="FF000000"/>
      </bottom>
    </border>
    <border>
      <left style="thick">
        <color rgb="FF000000"/>
      </left>
      <bottom style="medium">
        <color rgb="FF000000"/>
      </bottom>
    </border>
    <border>
      <bottom style="medium">
        <color rgb="FF000000"/>
      </bottom>
    </border>
    <border>
      <right style="thick">
        <color rgb="FF000000"/>
      </right>
      <bottom style="medium">
        <color rgb="FF000000"/>
      </bottom>
    </border>
    <border>
      <right style="thick">
        <color rgb="FF000000"/>
      </right>
    </border>
    <border>
      <left style="thin">
        <color rgb="FF000000"/>
      </left>
      <right style="thick">
        <color rgb="FF000000"/>
      </right>
    </border>
    <border>
      <right style="double">
        <color rgb="FF000000"/>
      </right>
      <top style="medium">
        <color rgb="FF000000"/>
      </top>
    </border>
    <border>
      <top style="medium">
        <color rgb="FF000000"/>
      </top>
    </border>
    <border>
      <left style="thick">
        <color rgb="FF000000"/>
      </left>
      <top style="medium">
        <color rgb="FF000000"/>
      </top>
    </border>
    <border>
      <right style="medium">
        <color rgb="FF000000"/>
      </right>
      <top style="medium">
        <color rgb="FF000000"/>
      </top>
    </border>
    <border>
      <right style="thick">
        <color rgb="FF000000"/>
      </right>
      <top style="medium">
        <color rgb="FF000000"/>
      </top>
    </border>
    <border>
      <left style="thick">
        <color rgb="FF000000"/>
      </left>
      <right style="medium">
        <color rgb="FF000000"/>
      </right>
      <top style="medium">
        <color rgb="FF000000"/>
      </top>
    </border>
    <border>
      <top style="thin">
        <color rgb="FF000000"/>
      </top>
    </border>
    <border>
      <right style="medium">
        <color rgb="FF000000"/>
      </right>
      <top style="thin">
        <color rgb="FF000000"/>
      </top>
    </border>
    <border>
      <right style="thick">
        <color rgb="FF000000"/>
      </right>
      <top style="thin">
        <color rgb="FF000000"/>
      </top>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right style="thin">
        <color rgb="FF000000"/>
      </right>
      <bottom style="medium">
        <color rgb="FF000000"/>
      </bottom>
    </border>
    <border>
      <left style="thin">
        <color rgb="FF000000"/>
      </left>
      <right style="thin">
        <color rgb="FF000000"/>
      </right>
      <bottom style="medium">
        <color rgb="FF000000"/>
      </bottom>
    </border>
    <border>
      <left style="thin">
        <color rgb="FF000000"/>
      </left>
      <right style="thick">
        <color rgb="FF000000"/>
      </right>
      <bottom style="medium">
        <color rgb="FF000000"/>
      </bottom>
    </border>
    <border>
      <right style="double">
        <color rgb="FF000000"/>
      </right>
      <bottom style="medium">
        <color rgb="FF000000"/>
      </bottom>
    </border>
    <border>
      <left style="thick">
        <color rgb="FF000000"/>
      </left>
      <right style="medium">
        <color rgb="FF000000"/>
      </right>
      <top style="medium">
        <color rgb="FF000000"/>
      </top>
      <bottom style="medium">
        <color rgb="FF000000"/>
      </bottom>
    </border>
    <border>
      <top style="thin">
        <color rgb="FF000000"/>
      </top>
      <bottom style="medium">
        <color rgb="FF000000"/>
      </bottom>
    </border>
    <border>
      <left style="thin">
        <color rgb="FF000000"/>
      </left>
      <top style="thin">
        <color rgb="FF000000"/>
      </top>
      <bottom style="medium">
        <color rgb="FF000000"/>
      </bottom>
    </border>
    <border>
      <left style="thin">
        <color rgb="FF000000"/>
      </left>
      <right style="medium">
        <color rgb="FF000000"/>
      </right>
      <top style="thin">
        <color rgb="FF000000"/>
      </top>
      <bottom style="medium">
        <color rgb="FF000000"/>
      </bottom>
    </border>
    <border>
      <right style="medium">
        <color rgb="FF000000"/>
      </right>
      <bottom style="medium">
        <color rgb="FF000000"/>
      </bottom>
    </border>
    <border>
      <left style="medium">
        <color rgb="FF000000"/>
      </left>
      <right style="medium">
        <color rgb="FF000000"/>
      </right>
      <top style="medium">
        <color rgb="FF000000"/>
      </top>
      <bottom style="medium">
        <color rgb="FF000000"/>
      </bottom>
    </border>
    <border>
      <left style="thick">
        <color rgb="FF000000"/>
      </left>
      <right style="thin">
        <color rgb="FF000000"/>
      </right>
      <bottom style="thin">
        <color rgb="FF000000"/>
      </bottom>
    </border>
    <border>
      <left style="thin">
        <color rgb="FF000000"/>
      </left>
      <right style="medium">
        <color rgb="FF000000"/>
      </right>
      <bottom style="thin">
        <color rgb="FF000000"/>
      </bottom>
    </border>
    <border>
      <right style="hair">
        <color rgb="FF000000"/>
      </right>
      <bottom style="hair">
        <color rgb="FF000000"/>
      </bottom>
    </border>
    <border>
      <left style="hair">
        <color rgb="FF000000"/>
      </left>
      <right style="thin">
        <color rgb="FF000000"/>
      </right>
      <bottom style="hair">
        <color rgb="FF000000"/>
      </bottom>
    </border>
    <border>
      <left style="hair">
        <color rgb="FF000000"/>
      </left>
      <bottom style="hair">
        <color rgb="FF000000"/>
      </bottom>
    </border>
    <border>
      <left style="hair">
        <color rgb="FF000000"/>
      </left>
      <right style="thick">
        <color rgb="FF000000"/>
      </right>
      <bottom style="hair">
        <color rgb="FF000000"/>
      </bottom>
    </border>
    <border>
      <left style="thick">
        <color rgb="FF000000"/>
      </left>
      <right style="thin">
        <color rgb="FF000000"/>
      </right>
      <top style="thin">
        <color rgb="FF000000"/>
      </top>
      <bottom style="thin">
        <color rgb="FF000000"/>
      </bottom>
    </border>
    <border>
      <left style="thick">
        <color rgb="FF000000"/>
      </left>
      <right style="thin">
        <color rgb="FF000000"/>
      </right>
      <top style="double">
        <color rgb="FF000000"/>
      </top>
      <bottom style="thin">
        <color rgb="FF000000"/>
      </bottom>
    </border>
    <border>
      <right style="thick">
        <color rgb="FF000000"/>
      </right>
      <bottom style="thin">
        <color rgb="FF000000"/>
      </bottom>
    </border>
    <border>
      <left style="thick">
        <color rgb="FF000000"/>
      </left>
      <right style="thin">
        <color rgb="FF000000"/>
      </right>
      <top style="thin">
        <color rgb="FF000000"/>
      </top>
      <bottom style="thick">
        <color rgb="FF000000"/>
      </bottom>
    </border>
    <border>
      <left style="thin">
        <color rgb="FF000000"/>
      </left>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left style="thick">
        <color rgb="FF000000"/>
      </left>
      <right style="thin">
        <color rgb="FF000000"/>
      </right>
      <top style="double">
        <color rgb="FF000000"/>
      </top>
      <bottom style="thick">
        <color rgb="FF000000"/>
      </bottom>
    </border>
    <border>
      <left style="thin">
        <color rgb="FF000000"/>
      </left>
      <right style="medium">
        <color rgb="FF000000"/>
      </right>
      <bottom style="thick">
        <color rgb="FF000000"/>
      </bottom>
    </border>
    <border>
      <right style="hair">
        <color rgb="FF000000"/>
      </right>
      <bottom style="thick">
        <color rgb="FF000000"/>
      </bottom>
    </border>
    <border>
      <left style="hair">
        <color rgb="FF000000"/>
      </left>
      <bottom style="thick">
        <color rgb="FF000000"/>
      </bottom>
    </border>
    <border>
      <left style="medium">
        <color rgb="FF000000"/>
      </left>
      <top style="medium">
        <color rgb="FF000000"/>
      </top>
    </border>
    <border>
      <left style="medium">
        <color rgb="FF000000"/>
      </left>
      <bottom style="medium">
        <color rgb="FF000000"/>
      </bottom>
    </border>
    <border>
      <left style="thin">
        <color rgb="FFFFFFFF"/>
      </left>
      <bottom style="medium">
        <color rgb="FF000000"/>
      </bottom>
    </border>
    <border>
      <left style="medium">
        <color rgb="FF000000"/>
      </left>
      <bottom style="thin">
        <color rgb="FFFFFFFF"/>
      </bottom>
    </border>
    <border>
      <left style="thin">
        <color rgb="FFFFFFFF"/>
      </left>
      <bottom style="thin">
        <color rgb="FFFFFFFF"/>
      </bottom>
    </border>
    <border>
      <bottom style="thin">
        <color rgb="FFFFFFFF"/>
      </bottom>
    </border>
    <border>
      <right style="medium">
        <color rgb="FF000000"/>
      </right>
      <bottom style="thin">
        <color rgb="FFFFFFFF"/>
      </bottom>
    </border>
    <border>
      <left style="thin">
        <color rgb="FFFFFFFF"/>
      </left>
      <top style="medium">
        <color rgb="FF000000"/>
      </top>
      <bottom style="medium">
        <color rgb="FF000000"/>
      </bottom>
    </border>
    <border>
      <top style="medium">
        <color rgb="FF000000"/>
      </top>
      <bottom style="medium">
        <color rgb="FF000000"/>
      </bottom>
    </border>
    <border>
      <left style="thick">
        <color rgb="FF000000"/>
      </left>
      <top style="thick">
        <color rgb="FF000000"/>
      </top>
      <bottom style="medium">
        <color rgb="FFFFFFFF"/>
      </bottom>
    </border>
    <border>
      <top style="thick">
        <color rgb="FF000000"/>
      </top>
      <bottom style="medium">
        <color rgb="FFFFFFFF"/>
      </bottom>
    </border>
    <border>
      <right style="thick">
        <color rgb="FF000000"/>
      </right>
      <top style="thick">
        <color rgb="FF000000"/>
      </top>
      <bottom style="medium">
        <color rgb="FFFFFFFF"/>
      </bottom>
    </border>
    <border>
      <left style="medium">
        <color rgb="FFFFFFFF"/>
      </left>
    </border>
    <border>
      <left style="thin">
        <color rgb="FFFFFFFF"/>
      </left>
    </border>
    <border>
      <left style="thick">
        <color rgb="FF000000"/>
      </left>
      <bottom style="thick">
        <color rgb="FF000000"/>
      </bottom>
    </border>
    <border>
      <left style="medium">
        <color rgb="FF000000"/>
      </left>
      <top style="medium">
        <color rgb="FF000000"/>
      </top>
      <bottom style="medium">
        <color rgb="FFFFFFFF"/>
      </bottom>
    </border>
    <border>
      <top style="medium">
        <color rgb="FF000000"/>
      </top>
      <bottom style="medium">
        <color rgb="FFFFFFFF"/>
      </bottom>
    </border>
    <border>
      <right style="medium">
        <color rgb="FF000000"/>
      </right>
      <top style="medium">
        <color rgb="FF000000"/>
      </top>
      <bottom style="medium">
        <color rgb="FFFFFFFF"/>
      </bottom>
    </border>
    <border>
      <right style="medium">
        <color rgb="FF000000"/>
      </right>
    </border>
    <border>
      <left style="thin">
        <color rgb="FF442F65"/>
      </left>
      <right style="thin">
        <color rgb="FFFFFFFF"/>
      </right>
      <bottom style="thin">
        <color rgb="FFFFFFFF"/>
      </bottom>
    </border>
    <border>
      <left style="thin">
        <color rgb="FFFFFFFF"/>
      </left>
      <right style="thin">
        <color rgb="FFFFFFFF"/>
      </right>
      <bottom style="thin">
        <color rgb="FFFFFFFF"/>
      </bottom>
    </border>
    <border>
      <left style="thin">
        <color rgb="FFFFFFFF"/>
      </left>
      <right style="thin">
        <color rgb="FF442F65"/>
      </right>
      <bottom style="thin">
        <color rgb="FFFFFFFF"/>
      </bottom>
    </border>
    <border>
      <left style="thin">
        <color rgb="FF442F65"/>
      </left>
      <right style="thin">
        <color rgb="FFFFFFFF"/>
      </right>
      <top style="thin">
        <color rgb="FFFFFFFF"/>
      </top>
      <bottom style="thin">
        <color rgb="FFFFFFFF"/>
      </bottom>
    </border>
    <border>
      <left style="thin">
        <color rgb="FFFFFFFF"/>
      </left>
      <right style="thin">
        <color rgb="FFFFFFFF"/>
      </right>
      <top style="thin">
        <color rgb="FFFFFFFF"/>
      </top>
      <bottom style="thin">
        <color rgb="FFFFFFFF"/>
      </bottom>
    </border>
    <border>
      <left style="thin">
        <color rgb="FFFFFFFF"/>
      </left>
      <right style="thin">
        <color rgb="FF442F65"/>
      </right>
      <top style="thin">
        <color rgb="FFFFFFFF"/>
      </top>
      <bottom style="thin">
        <color rgb="FFFFFFFF"/>
      </bottom>
    </border>
    <border>
      <left style="medium">
        <color rgb="FF000000"/>
      </left>
      <top style="medium">
        <color rgb="FF000000"/>
      </top>
      <bottom style="hair">
        <color rgb="FF000000"/>
      </bottom>
    </border>
    <border>
      <left style="thin">
        <color rgb="FF000000"/>
      </left>
      <top style="medium">
        <color rgb="FF000000"/>
      </top>
      <bottom style="hair">
        <color rgb="FF000000"/>
      </bottom>
    </border>
    <border>
      <right style="medium">
        <color rgb="FF000000"/>
      </right>
      <top style="medium">
        <color rgb="FF000000"/>
      </top>
      <bottom style="hair">
        <color rgb="FF000000"/>
      </bottom>
    </border>
    <border>
      <left style="medium">
        <color rgb="FF000000"/>
      </left>
      <top style="hair">
        <color rgb="FF000000"/>
      </top>
      <bottom style="medium">
        <color rgb="FF000000"/>
      </bottom>
    </border>
    <border>
      <left style="thin">
        <color rgb="FF000000"/>
      </left>
      <top style="hair">
        <color rgb="FF000000"/>
      </top>
      <bottom style="medium">
        <color rgb="FF000000"/>
      </bottom>
    </border>
    <border>
      <right style="medium">
        <color rgb="FF000000"/>
      </right>
      <top style="hair">
        <color rgb="FF000000"/>
      </top>
      <bottom style="medium">
        <color rgb="FF000000"/>
      </bottom>
    </border>
    <border>
      <left style="medium">
        <color rgb="FF000000"/>
      </left>
      <right style="hair">
        <color rgb="FF000000"/>
      </right>
      <top style="medium">
        <color rgb="FF000000"/>
      </top>
      <bottom style="thin">
        <color rgb="FF000000"/>
      </bottom>
    </border>
    <border>
      <left style="hair">
        <color rgb="FF000000"/>
      </left>
      <right style="thin">
        <color rgb="FF000000"/>
      </right>
      <top style="medium">
        <color rgb="FF000000"/>
      </top>
      <bottom style="thin">
        <color rgb="FF000000"/>
      </bottom>
    </border>
    <border>
      <right style="hair">
        <color rgb="FF000000"/>
      </right>
      <top style="medium">
        <color rgb="FF000000"/>
      </top>
      <bottom style="thin">
        <color rgb="FF000000"/>
      </bottom>
    </border>
    <border>
      <left style="hair">
        <color rgb="FF000000"/>
      </left>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hair">
        <color rgb="FF000000"/>
      </right>
      <bottom style="medium">
        <color rgb="FF000000"/>
      </bottom>
    </border>
    <border>
      <left style="hair">
        <color rgb="FF000000"/>
      </left>
      <right style="thin">
        <color rgb="FF000000"/>
      </right>
      <bottom style="medium">
        <color rgb="FF000000"/>
      </bottom>
    </border>
    <border>
      <right style="hair">
        <color rgb="FF000000"/>
      </right>
      <bottom style="medium">
        <color rgb="FF000000"/>
      </bottom>
    </border>
    <border>
      <left style="hair">
        <color rgb="FF000000"/>
      </left>
      <bottom style="medium">
        <color rgb="FF000000"/>
      </bottom>
    </border>
    <border>
      <left style="hair">
        <color rgb="FF000000"/>
      </left>
    </border>
    <border>
      <left style="hair">
        <color rgb="FF000000"/>
      </left>
      <top style="medium">
        <color rgb="FF000000"/>
      </top>
    </border>
    <border>
      <left style="medium">
        <color rgb="FF000000"/>
      </left>
      <top style="medium">
        <color rgb="FF000000"/>
      </top>
      <bottom style="thin">
        <color rgb="FF000000"/>
      </bottom>
    </border>
    <border>
      <right style="thin">
        <color rgb="FF000000"/>
      </right>
      <top style="medium">
        <color rgb="FF000000"/>
      </top>
      <bottom style="thin">
        <color rgb="FF000000"/>
      </bottom>
    </border>
    <border>
      <left style="thin">
        <color rgb="FF000000"/>
      </left>
      <right style="hair">
        <color rgb="FF000000"/>
      </right>
      <top style="medium">
        <color rgb="FF000000"/>
      </top>
      <bottom style="thin">
        <color rgb="FF000000"/>
      </bottom>
    </border>
    <border>
      <left style="hair">
        <color rgb="FF000000"/>
      </left>
      <right style="medium">
        <color rgb="FF000000"/>
      </right>
      <top style="medium">
        <color rgb="FF000000"/>
      </top>
      <bottom style="thin">
        <color rgb="FF000000"/>
      </bottom>
    </border>
    <border>
      <left style="thin">
        <color rgb="FF000000"/>
      </left>
      <right style="hair">
        <color rgb="FF000000"/>
      </right>
      <bottom style="medium">
        <color rgb="FF000000"/>
      </bottom>
    </border>
    <border>
      <left style="hair">
        <color rgb="FF000000"/>
      </left>
      <right style="medium">
        <color rgb="FF000000"/>
      </right>
    </border>
    <border>
      <left style="hair">
        <color rgb="FF000000"/>
      </left>
      <top style="medium">
        <color rgb="FF000000"/>
      </top>
      <bottom style="medium">
        <color rgb="FF000000"/>
      </bottom>
    </border>
    <border>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hair">
        <color rgb="FF000000"/>
      </left>
      <right style="medium">
        <color rgb="FF000000"/>
      </right>
      <top style="medium">
        <color rgb="FF000000"/>
      </top>
      <bottom style="medium">
        <color rgb="FF00000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medium">
        <color rgb="FF000000"/>
      </right>
      <top style="medium">
        <color rgb="FF000000"/>
      </top>
      <bottom style="thin">
        <color rgb="FF000000"/>
      </bottom>
    </border>
    <border>
      <top style="medium">
        <color rgb="FF000000"/>
      </top>
      <bottom style="thin">
        <color rgb="FF000000"/>
      </bottom>
    </border>
    <border>
      <left style="medium">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medium">
        <color rgb="FF000000"/>
      </left>
      <top style="thin">
        <color rgb="FF000000"/>
      </top>
      <bottom style="thin">
        <color rgb="FF000000"/>
      </bottom>
    </border>
    <border>
      <left style="medium">
        <color rgb="FF000000"/>
      </left>
      <right style="thin">
        <color rgb="FF000000"/>
      </right>
      <top style="thin">
        <color rgb="FF000000"/>
      </top>
      <bottom style="medium">
        <color rgb="FF000000"/>
      </bottom>
    </border>
    <border>
      <right style="thin">
        <color rgb="FF000000"/>
      </right>
      <top style="thin">
        <color rgb="FF000000"/>
      </top>
    </border>
    <border>
      <left style="thin">
        <color rgb="FF000000"/>
      </left>
      <right style="thin">
        <color rgb="FF000000"/>
      </right>
      <top style="thin">
        <color rgb="FF000000"/>
      </top>
    </border>
    <border>
      <left style="thin">
        <color rgb="FF000000"/>
      </left>
      <top style="thin">
        <color rgb="FF000000"/>
      </top>
    </border>
    <border>
      <left style="medium">
        <color rgb="FF000000"/>
      </left>
      <top style="thin">
        <color rgb="FF000000"/>
      </top>
      <bottom style="medium">
        <color rgb="FF000000"/>
      </bottom>
    </border>
  </borders>
  <cellStyleXfs count="1">
    <xf borderId="0" fillId="0" fontId="0" numFmtId="0" applyAlignment="1" applyFont="1"/>
  </cellStyleXfs>
  <cellXfs count="419">
    <xf borderId="0" fillId="0" fontId="0" numFmtId="0" xfId="0" applyAlignment="1" applyFont="1">
      <alignment readingOrder="0" shrinkToFit="0" vertical="bottom" wrapText="0"/>
    </xf>
    <xf borderId="0" fillId="0" fontId="1" numFmtId="0" xfId="0" applyFont="1"/>
    <xf borderId="1" fillId="0" fontId="2" numFmtId="0" xfId="0" applyAlignment="1" applyBorder="1" applyFont="1">
      <alignment horizontal="center" readingOrder="0"/>
    </xf>
    <xf borderId="2" fillId="0" fontId="3" numFmtId="0" xfId="0" applyBorder="1" applyFont="1"/>
    <xf borderId="3" fillId="0" fontId="3" numFmtId="0" xfId="0" applyBorder="1" applyFont="1"/>
    <xf borderId="0" fillId="0" fontId="1" numFmtId="0" xfId="0" applyAlignment="1" applyFont="1">
      <alignment horizontal="center" readingOrder="0" vertical="center"/>
    </xf>
    <xf borderId="0" fillId="0" fontId="4" numFmtId="0" xfId="0" applyAlignment="1" applyFont="1">
      <alignment horizontal="center" vertical="center"/>
    </xf>
    <xf borderId="4" fillId="0" fontId="4" numFmtId="0" xfId="0" applyAlignment="1" applyBorder="1" applyFont="1">
      <alignment horizontal="center" vertical="center"/>
    </xf>
    <xf borderId="5" fillId="0" fontId="5" numFmtId="0" xfId="0" applyAlignment="1" applyBorder="1" applyFont="1">
      <alignment horizontal="center" readingOrder="0" vertical="center"/>
    </xf>
    <xf borderId="6" fillId="0" fontId="5" numFmtId="0" xfId="0" applyAlignment="1" applyBorder="1" applyFont="1">
      <alignment horizontal="center" readingOrder="0" vertical="center"/>
    </xf>
    <xf borderId="7" fillId="0" fontId="1" numFmtId="0" xfId="0" applyAlignment="1" applyBorder="1" applyFont="1">
      <alignment horizontal="center" readingOrder="0" vertical="center"/>
    </xf>
    <xf borderId="8" fillId="0" fontId="1" numFmtId="0" xfId="0" applyAlignment="1" applyBorder="1" applyFont="1">
      <alignment horizontal="center" readingOrder="0" vertical="center"/>
    </xf>
    <xf borderId="0" fillId="0" fontId="1" numFmtId="0" xfId="0" applyAlignment="1" applyFont="1">
      <alignment horizontal="center" readingOrder="0"/>
    </xf>
    <xf borderId="5" fillId="2" fontId="2" numFmtId="0" xfId="0" applyAlignment="1" applyBorder="1" applyFill="1" applyFont="1">
      <alignment horizontal="center" readingOrder="0"/>
    </xf>
    <xf borderId="9" fillId="0" fontId="3" numFmtId="0" xfId="0" applyBorder="1" applyFont="1"/>
    <xf borderId="10" fillId="0" fontId="3" numFmtId="0" xfId="0" applyBorder="1" applyFont="1"/>
    <xf borderId="11" fillId="0" fontId="3" numFmtId="0" xfId="0" applyBorder="1" applyFont="1"/>
    <xf borderId="12" fillId="0" fontId="3" numFmtId="0" xfId="0" applyBorder="1" applyFont="1"/>
    <xf borderId="13" fillId="0" fontId="3" numFmtId="0" xfId="0" applyBorder="1" applyFont="1"/>
    <xf borderId="14" fillId="0" fontId="3" numFmtId="0" xfId="0" applyBorder="1" applyFont="1"/>
    <xf borderId="15" fillId="0" fontId="1" numFmtId="0" xfId="0" applyAlignment="1" applyBorder="1" applyFont="1">
      <alignment horizontal="center" readingOrder="0" vertical="center"/>
    </xf>
    <xf borderId="15" fillId="0" fontId="1" numFmtId="0" xfId="0" applyAlignment="1" applyBorder="1" applyFont="1">
      <alignment horizontal="center" readingOrder="0"/>
    </xf>
    <xf borderId="16" fillId="0" fontId="1" numFmtId="0" xfId="0" applyAlignment="1" applyBorder="1" applyFont="1">
      <alignment horizontal="center" readingOrder="0"/>
    </xf>
    <xf borderId="17" fillId="3" fontId="2" numFmtId="0" xfId="0" applyAlignment="1" applyBorder="1" applyFill="1" applyFont="1">
      <alignment horizontal="center" readingOrder="0"/>
    </xf>
    <xf borderId="18" fillId="3" fontId="2" numFmtId="0" xfId="0" applyAlignment="1" applyBorder="1" applyFont="1">
      <alignment horizontal="center" readingOrder="0"/>
    </xf>
    <xf borderId="19" fillId="4" fontId="6" numFmtId="0" xfId="0" applyAlignment="1" applyBorder="1" applyFill="1" applyFont="1">
      <alignment horizontal="center" readingOrder="0"/>
    </xf>
    <xf borderId="20" fillId="4" fontId="6" numFmtId="0" xfId="0" applyAlignment="1" applyBorder="1" applyFont="1">
      <alignment horizontal="center" readingOrder="0"/>
    </xf>
    <xf borderId="21" fillId="4" fontId="6" numFmtId="0" xfId="0" applyAlignment="1" applyBorder="1" applyFont="1">
      <alignment horizontal="center" readingOrder="0"/>
    </xf>
    <xf borderId="22" fillId="0" fontId="1" numFmtId="0" xfId="0" applyAlignment="1" applyBorder="1" applyFont="1">
      <alignment horizontal="center"/>
    </xf>
    <xf borderId="23" fillId="0" fontId="1" numFmtId="0" xfId="0" applyAlignment="1" applyBorder="1" applyFont="1">
      <alignment horizontal="center"/>
    </xf>
    <xf borderId="23" fillId="0" fontId="1" numFmtId="0" xfId="0" applyAlignment="1" applyBorder="1" applyFont="1">
      <alignment horizontal="center" readingOrder="0"/>
    </xf>
    <xf borderId="24" fillId="0" fontId="1" numFmtId="0" xfId="0" applyAlignment="1" applyBorder="1" applyFont="1">
      <alignment horizontal="center" readingOrder="0"/>
    </xf>
    <xf borderId="25" fillId="0" fontId="1" numFmtId="0" xfId="0" applyAlignment="1" applyBorder="1" applyFont="1">
      <alignment horizontal="center" readingOrder="0"/>
    </xf>
    <xf borderId="26" fillId="0" fontId="1" numFmtId="0" xfId="0" applyAlignment="1" applyBorder="1" applyFont="1">
      <alignment horizontal="center" readingOrder="0"/>
    </xf>
    <xf borderId="27" fillId="0" fontId="7" numFmtId="164" xfId="0" applyAlignment="1" applyBorder="1" applyFont="1" applyNumberFormat="1">
      <alignment horizontal="center" readingOrder="0" vertical="bottom"/>
    </xf>
    <xf borderId="28" fillId="0" fontId="1" numFmtId="0" xfId="0" applyAlignment="1" applyBorder="1" applyFont="1">
      <alignment horizontal="center" readingOrder="0"/>
    </xf>
    <xf borderId="29" fillId="4" fontId="8" numFmtId="0" xfId="0" applyAlignment="1" applyBorder="1" applyFont="1">
      <alignment horizontal="center" vertical="center"/>
    </xf>
    <xf borderId="30" fillId="4" fontId="8" numFmtId="165" xfId="0" applyAlignment="1" applyBorder="1" applyFont="1" applyNumberFormat="1">
      <alignment horizontal="center" vertical="center"/>
    </xf>
    <xf borderId="31" fillId="4" fontId="8" numFmtId="166" xfId="0" applyAlignment="1" applyBorder="1" applyFont="1" applyNumberFormat="1">
      <alignment horizontal="center" vertical="center"/>
    </xf>
    <xf borderId="0" fillId="0" fontId="1" numFmtId="0" xfId="0" applyAlignment="1" applyFont="1">
      <alignment readingOrder="0"/>
    </xf>
    <xf borderId="0" fillId="0" fontId="1" numFmtId="166" xfId="0" applyAlignment="1" applyFont="1" applyNumberFormat="1">
      <alignment readingOrder="0"/>
    </xf>
    <xf borderId="0" fillId="0" fontId="4" numFmtId="0" xfId="0" applyAlignment="1" applyFont="1">
      <alignment horizontal="center" readingOrder="0" vertical="center"/>
    </xf>
    <xf borderId="5" fillId="5" fontId="9" numFmtId="0" xfId="0" applyAlignment="1" applyBorder="1" applyFill="1" applyFont="1">
      <alignment horizontal="center" readingOrder="0" vertical="center"/>
    </xf>
    <xf borderId="6" fillId="5" fontId="9" numFmtId="0" xfId="0" applyAlignment="1" applyBorder="1" applyFont="1">
      <alignment horizontal="center" readingOrder="0" vertical="center"/>
    </xf>
    <xf borderId="7" fillId="5" fontId="2" numFmtId="0" xfId="0" applyAlignment="1" applyBorder="1" applyFont="1">
      <alignment horizontal="center" readingOrder="0" vertical="center"/>
    </xf>
    <xf borderId="8" fillId="5" fontId="2" numFmtId="0" xfId="0" applyAlignment="1" applyBorder="1" applyFont="1">
      <alignment horizontal="center" readingOrder="0" vertical="center"/>
    </xf>
    <xf borderId="32" fillId="0" fontId="1" numFmtId="0" xfId="0" applyAlignment="1" applyBorder="1" applyFont="1">
      <alignment horizontal="center" readingOrder="0" vertical="center"/>
    </xf>
    <xf borderId="5" fillId="3" fontId="2" numFmtId="0" xfId="0" applyAlignment="1" applyBorder="1" applyFont="1">
      <alignment horizontal="center" readingOrder="0"/>
    </xf>
    <xf borderId="33" fillId="5" fontId="9" numFmtId="0" xfId="0" applyAlignment="1" applyBorder="1" applyFont="1">
      <alignment horizontal="center" readingOrder="0" vertical="center"/>
    </xf>
    <xf borderId="34" fillId="5" fontId="9" numFmtId="0" xfId="0" applyAlignment="1" applyBorder="1" applyFont="1">
      <alignment horizontal="center" readingOrder="0" vertical="center"/>
    </xf>
    <xf borderId="35" fillId="5" fontId="2" numFmtId="0" xfId="0" applyAlignment="1" applyBorder="1" applyFont="1">
      <alignment horizontal="center" readingOrder="0" vertical="center"/>
    </xf>
    <xf borderId="36" fillId="5" fontId="2" numFmtId="0" xfId="0" applyAlignment="1" applyBorder="1" applyFont="1">
      <alignment horizontal="center" readingOrder="0" vertical="center"/>
    </xf>
    <xf borderId="0" fillId="0" fontId="10" numFmtId="0" xfId="0" applyFont="1"/>
    <xf borderId="0" fillId="0" fontId="1" numFmtId="0" xfId="0" applyAlignment="1" applyFont="1">
      <alignment horizontal="center" vertical="center"/>
    </xf>
    <xf borderId="37" fillId="0" fontId="3" numFmtId="0" xfId="0" applyBorder="1" applyFont="1"/>
    <xf borderId="38" fillId="4" fontId="6" numFmtId="0" xfId="0" applyAlignment="1" applyBorder="1" applyFont="1">
      <alignment horizontal="center" readingOrder="0"/>
    </xf>
    <xf borderId="39" fillId="4" fontId="6" numFmtId="0" xfId="0" applyAlignment="1" applyBorder="1" applyFont="1">
      <alignment horizontal="center" readingOrder="0"/>
    </xf>
    <xf borderId="40" fillId="0" fontId="1" numFmtId="0" xfId="0" applyAlignment="1" applyBorder="1" applyFont="1">
      <alignment horizontal="center" readingOrder="0"/>
    </xf>
    <xf borderId="41" fillId="0" fontId="1" numFmtId="0" xfId="0" applyAlignment="1" applyBorder="1" applyFont="1">
      <alignment horizontal="center" readingOrder="0"/>
    </xf>
    <xf borderId="42" fillId="0" fontId="3" numFmtId="0" xfId="0" applyBorder="1" applyFont="1"/>
    <xf borderId="43" fillId="3" fontId="2" numFmtId="0" xfId="0" applyAlignment="1" applyBorder="1" applyFont="1">
      <alignment horizontal="center" readingOrder="0"/>
    </xf>
    <xf borderId="24" fillId="0" fontId="1" numFmtId="0" xfId="0" applyAlignment="1" applyBorder="1" applyFont="1">
      <alignment horizontal="center"/>
    </xf>
    <xf borderId="25" fillId="0" fontId="1" numFmtId="0" xfId="0" applyAlignment="1" applyBorder="1" applyFont="1">
      <alignment horizontal="center"/>
    </xf>
    <xf borderId="26" fillId="0" fontId="1" numFmtId="0" xfId="0" applyAlignment="1" applyBorder="1" applyFont="1">
      <alignment horizontal="center"/>
    </xf>
    <xf borderId="28" fillId="0" fontId="1" numFmtId="0" xfId="0" applyAlignment="1" applyBorder="1" applyFont="1">
      <alignment horizontal="center"/>
    </xf>
    <xf borderId="27" fillId="0" fontId="1" numFmtId="0" xfId="0" applyAlignment="1" applyBorder="1" applyFont="1">
      <alignment horizontal="center" readingOrder="0"/>
    </xf>
    <xf borderId="44" fillId="0" fontId="1" numFmtId="0" xfId="0" applyAlignment="1" applyBorder="1" applyFont="1">
      <alignment horizontal="center" readingOrder="0"/>
    </xf>
    <xf borderId="45" fillId="0" fontId="1" numFmtId="0" xfId="0" applyAlignment="1" applyBorder="1" applyFont="1">
      <alignment horizontal="center"/>
    </xf>
    <xf borderId="46" fillId="0" fontId="1" numFmtId="0" xfId="0" applyAlignment="1" applyBorder="1" applyFont="1">
      <alignment horizontal="center"/>
    </xf>
    <xf borderId="0" fillId="0" fontId="1" numFmtId="0" xfId="0" applyAlignment="1" applyFont="1">
      <alignment horizontal="center"/>
    </xf>
    <xf borderId="0" fillId="0" fontId="1" numFmtId="167" xfId="0" applyAlignment="1" applyFont="1" applyNumberFormat="1">
      <alignment horizontal="center"/>
    </xf>
    <xf borderId="0" fillId="0" fontId="1" numFmtId="166" xfId="0" applyFont="1" applyNumberFormat="1"/>
    <xf borderId="1" fillId="6" fontId="11" numFmtId="0" xfId="0" applyAlignment="1" applyBorder="1" applyFill="1" applyFont="1">
      <alignment horizontal="center" readingOrder="0" vertical="center"/>
    </xf>
    <xf borderId="0" fillId="0" fontId="10" numFmtId="0" xfId="0" applyAlignment="1" applyFont="1">
      <alignment horizontal="center" readingOrder="0"/>
    </xf>
    <xf borderId="5" fillId="5" fontId="12" numFmtId="0" xfId="0" applyAlignment="1" applyBorder="1" applyFont="1">
      <alignment horizontal="center" readingOrder="0" vertical="center"/>
    </xf>
    <xf borderId="9" fillId="0" fontId="13" numFmtId="0" xfId="0" applyAlignment="1" applyBorder="1" applyFont="1">
      <alignment horizontal="center" readingOrder="0" vertical="center"/>
    </xf>
    <xf borderId="5" fillId="3" fontId="13" numFmtId="0" xfId="0" applyAlignment="1" applyBorder="1" applyFont="1">
      <alignment horizontal="center" readingOrder="0" vertical="center"/>
    </xf>
    <xf borderId="9" fillId="3" fontId="13" numFmtId="0" xfId="0" applyAlignment="1" applyBorder="1" applyFont="1">
      <alignment horizontal="center" readingOrder="0" vertical="center"/>
    </xf>
    <xf borderId="47" fillId="0" fontId="3" numFmtId="0" xfId="0" applyBorder="1" applyFont="1"/>
    <xf borderId="48" fillId="0" fontId="3" numFmtId="0" xfId="0" applyBorder="1" applyFont="1"/>
    <xf borderId="49" fillId="0" fontId="3" numFmtId="0" xfId="0" applyBorder="1" applyFont="1"/>
    <xf borderId="0" fillId="0" fontId="13" numFmtId="0" xfId="0" applyAlignment="1" applyFont="1">
      <alignment horizontal="center" readingOrder="0" vertical="center"/>
    </xf>
    <xf borderId="33" fillId="3" fontId="13" numFmtId="0" xfId="0" applyAlignment="1" applyBorder="1" applyFont="1">
      <alignment horizontal="center" readingOrder="0" vertical="center"/>
    </xf>
    <xf borderId="33" fillId="0" fontId="3" numFmtId="0" xfId="0" applyBorder="1" applyFont="1"/>
    <xf borderId="0" fillId="3" fontId="13" numFmtId="0" xfId="0" applyAlignment="1" applyFont="1">
      <alignment horizontal="center" readingOrder="0" vertical="center"/>
    </xf>
    <xf borderId="50" fillId="0" fontId="3" numFmtId="0" xfId="0" applyBorder="1" applyFont="1"/>
    <xf borderId="0" fillId="0" fontId="10" numFmtId="0" xfId="0" applyAlignment="1" applyFont="1">
      <alignment readingOrder="0"/>
    </xf>
    <xf borderId="0" fillId="0" fontId="1" numFmtId="165" xfId="0" applyAlignment="1" applyFont="1" applyNumberFormat="1">
      <alignment horizontal="center" readingOrder="0" vertical="center"/>
    </xf>
    <xf borderId="33" fillId="5" fontId="14" numFmtId="0" xfId="0" applyAlignment="1" applyBorder="1" applyFont="1">
      <alignment horizontal="center" readingOrder="0" vertical="center"/>
    </xf>
    <xf borderId="34" fillId="5" fontId="14" numFmtId="0" xfId="0" applyAlignment="1" applyBorder="1" applyFont="1">
      <alignment horizontal="center" readingOrder="0" vertical="center"/>
    </xf>
    <xf borderId="35" fillId="5" fontId="15" numFmtId="0" xfId="0" applyAlignment="1" applyBorder="1" applyFont="1">
      <alignment horizontal="center" readingOrder="0" shrinkToFit="0" vertical="center" wrapText="1"/>
    </xf>
    <xf borderId="51" fillId="5" fontId="15" numFmtId="0" xfId="0" applyAlignment="1" applyBorder="1" applyFont="1">
      <alignment horizontal="center" readingOrder="0" shrinkToFit="0" vertical="center" wrapText="1"/>
    </xf>
    <xf borderId="52" fillId="0" fontId="2" numFmtId="0" xfId="0" applyAlignment="1" applyBorder="1" applyFont="1">
      <alignment horizontal="center" readingOrder="0" vertical="center"/>
    </xf>
    <xf borderId="53" fillId="0" fontId="2" numFmtId="0" xfId="0" applyAlignment="1" applyBorder="1" applyFont="1">
      <alignment horizontal="center" readingOrder="0"/>
    </xf>
    <xf borderId="54" fillId="3" fontId="2" numFmtId="0" xfId="0" applyAlignment="1" applyBorder="1" applyFont="1">
      <alignment horizontal="center" readingOrder="0"/>
    </xf>
    <xf borderId="53" fillId="0" fontId="3" numFmtId="0" xfId="0" applyBorder="1" applyFont="1"/>
    <xf borderId="55" fillId="0" fontId="3" numFmtId="0" xfId="0" applyBorder="1" applyFont="1"/>
    <xf borderId="53" fillId="3" fontId="2" numFmtId="0" xfId="0" applyAlignment="1" applyBorder="1" applyFont="1">
      <alignment horizontal="center" readingOrder="0"/>
    </xf>
    <xf borderId="35" fillId="5" fontId="15" numFmtId="0" xfId="0" applyAlignment="1" applyBorder="1" applyFont="1">
      <alignment horizontal="center" readingOrder="0" vertical="center"/>
    </xf>
    <xf borderId="51" fillId="5" fontId="15" numFmtId="0" xfId="0" applyAlignment="1" applyBorder="1" applyFont="1">
      <alignment horizontal="center" readingOrder="0" vertical="center"/>
    </xf>
    <xf borderId="56" fillId="0" fontId="3" numFmtId="0" xfId="0" applyBorder="1" applyFont="1"/>
    <xf borderId="34" fillId="0" fontId="3" numFmtId="0" xfId="0" applyBorder="1" applyFont="1"/>
    <xf borderId="35" fillId="0" fontId="3" numFmtId="0" xfId="0" applyBorder="1" applyFont="1"/>
    <xf borderId="51" fillId="0" fontId="3" numFmtId="0" xfId="0" applyBorder="1" applyFont="1"/>
    <xf borderId="32" fillId="0" fontId="3" numFmtId="0" xfId="0" applyBorder="1" applyFont="1"/>
    <xf borderId="0" fillId="0" fontId="2" numFmtId="0" xfId="0" applyAlignment="1" applyFont="1">
      <alignment horizontal="center" readingOrder="0"/>
    </xf>
    <xf borderId="57" fillId="3" fontId="2" numFmtId="0" xfId="0" applyAlignment="1" applyBorder="1" applyFont="1">
      <alignment horizontal="center" readingOrder="0"/>
    </xf>
    <xf borderId="58" fillId="3" fontId="2" numFmtId="0" xfId="0" applyAlignment="1" applyBorder="1" applyFont="1">
      <alignment horizontal="center" readingOrder="0"/>
    </xf>
    <xf borderId="58" fillId="0" fontId="3" numFmtId="0" xfId="0" applyBorder="1" applyFont="1"/>
    <xf borderId="59" fillId="0" fontId="3" numFmtId="0" xfId="0" applyBorder="1" applyFont="1"/>
    <xf borderId="58" fillId="4" fontId="6" numFmtId="0" xfId="0" applyAlignment="1" applyBorder="1" applyFont="1">
      <alignment horizontal="center" readingOrder="0"/>
    </xf>
    <xf borderId="0" fillId="3" fontId="2" numFmtId="0" xfId="0" applyAlignment="1" applyFont="1">
      <alignment horizontal="center" readingOrder="0"/>
    </xf>
    <xf borderId="60" fillId="0" fontId="3" numFmtId="0" xfId="0" applyBorder="1" applyFont="1"/>
    <xf borderId="61" fillId="0" fontId="16" numFmtId="0" xfId="0" applyAlignment="1" applyBorder="1" applyFont="1">
      <alignment horizontal="center" readingOrder="0" vertical="center"/>
    </xf>
    <xf borderId="62" fillId="0" fontId="3" numFmtId="0" xfId="0" applyBorder="1" applyFont="1"/>
    <xf borderId="0" fillId="0" fontId="16" numFmtId="0" xfId="0" applyAlignment="1" applyFont="1">
      <alignment horizontal="center" readingOrder="0" vertical="center"/>
    </xf>
    <xf borderId="63" fillId="0" fontId="3" numFmtId="0" xfId="0" applyBorder="1" applyFont="1"/>
    <xf borderId="64" fillId="0" fontId="3" numFmtId="0" xfId="0" applyBorder="1" applyFont="1"/>
    <xf borderId="65" fillId="0" fontId="3" numFmtId="0" xfId="0" applyBorder="1" applyFont="1"/>
    <xf borderId="66" fillId="0" fontId="3" numFmtId="0" xfId="0" applyBorder="1" applyFont="1"/>
    <xf borderId="48" fillId="0" fontId="2" numFmtId="0" xfId="0" applyAlignment="1" applyBorder="1" applyFont="1">
      <alignment horizontal="center" readingOrder="0"/>
    </xf>
    <xf borderId="67" fillId="3" fontId="2" numFmtId="0" xfId="0" applyAlignment="1" applyBorder="1" applyFont="1">
      <alignment horizontal="center" readingOrder="0"/>
    </xf>
    <xf borderId="68" fillId="3" fontId="2" numFmtId="0" xfId="0" applyAlignment="1" applyBorder="1" applyFont="1">
      <alignment horizontal="center" readingOrder="0"/>
    </xf>
    <xf borderId="69" fillId="3" fontId="2" numFmtId="0" xfId="0" applyAlignment="1" applyBorder="1" applyFont="1">
      <alignment horizontal="center" readingOrder="0"/>
    </xf>
    <xf borderId="70" fillId="3" fontId="2" numFmtId="0" xfId="0" applyAlignment="1" applyBorder="1" applyFont="1">
      <alignment horizontal="center" readingOrder="0"/>
    </xf>
    <xf borderId="71" fillId="3" fontId="2" numFmtId="0" xfId="0" applyAlignment="1" applyBorder="1" applyFont="1">
      <alignment horizontal="center" readingOrder="0"/>
    </xf>
    <xf borderId="61" fillId="3" fontId="2" numFmtId="0" xfId="0" applyAlignment="1" applyBorder="1" applyFont="1">
      <alignment horizontal="center" readingOrder="0"/>
    </xf>
    <xf borderId="72" fillId="0" fontId="16" numFmtId="0" xfId="0" applyAlignment="1" applyBorder="1" applyFont="1">
      <alignment horizontal="center" readingOrder="0" vertical="center"/>
    </xf>
    <xf borderId="73" fillId="0" fontId="1" numFmtId="0" xfId="0" applyAlignment="1" applyBorder="1" applyFont="1">
      <alignment horizontal="center" readingOrder="0" shrinkToFit="0" wrapText="1"/>
    </xf>
    <xf borderId="13" fillId="0" fontId="1" numFmtId="0" xfId="0" applyAlignment="1" applyBorder="1" applyFont="1">
      <alignment horizontal="center" readingOrder="0" shrinkToFit="0" wrapText="1"/>
    </xf>
    <xf borderId="13" fillId="0" fontId="17" numFmtId="0" xfId="0" applyAlignment="1" applyBorder="1" applyFont="1">
      <alignment horizontal="center" shrinkToFit="0" vertical="center" wrapText="1"/>
    </xf>
    <xf borderId="14" fillId="0" fontId="17" numFmtId="0" xfId="0" applyAlignment="1" applyBorder="1" applyFont="1">
      <alignment horizontal="center" shrinkToFit="0" vertical="center" wrapText="1"/>
    </xf>
    <xf borderId="12" fillId="0" fontId="17" numFmtId="0" xfId="0" applyAlignment="1" applyBorder="1" applyFont="1">
      <alignment horizontal="center" shrinkToFit="0" wrapText="0"/>
    </xf>
    <xf borderId="42" fillId="0" fontId="2" numFmtId="0" xfId="0" applyAlignment="1" applyBorder="1" applyFont="1">
      <alignment horizontal="center"/>
    </xf>
    <xf borderId="73" fillId="0" fontId="2" numFmtId="0" xfId="0" applyAlignment="1" applyBorder="1" applyFont="1">
      <alignment horizontal="center"/>
    </xf>
    <xf borderId="12" fillId="0" fontId="7" numFmtId="164" xfId="0" applyAlignment="1" applyBorder="1" applyFont="1" applyNumberFormat="1">
      <alignment horizontal="center" readingOrder="0" vertical="bottom"/>
    </xf>
    <xf borderId="13" fillId="0" fontId="7" numFmtId="0" xfId="0" applyAlignment="1" applyBorder="1" applyFont="1">
      <alignment horizontal="center" readingOrder="0" vertical="bottom"/>
    </xf>
    <xf borderId="74" fillId="0" fontId="1" numFmtId="0" xfId="0" applyAlignment="1" applyBorder="1" applyFont="1">
      <alignment horizontal="center" readingOrder="0"/>
    </xf>
    <xf borderId="75" fillId="4" fontId="8" numFmtId="0" xfId="0" applyAlignment="1" applyBorder="1" applyFont="1">
      <alignment horizontal="center" vertical="center"/>
    </xf>
    <xf borderId="76" fillId="4" fontId="8" numFmtId="165" xfId="0" applyAlignment="1" applyBorder="1" applyFont="1" applyNumberFormat="1">
      <alignment horizontal="center" vertical="center"/>
    </xf>
    <xf borderId="77" fillId="4" fontId="8" numFmtId="166" xfId="0" applyAlignment="1" applyBorder="1" applyFont="1" applyNumberFormat="1">
      <alignment horizontal="center" vertical="center"/>
    </xf>
    <xf borderId="12" fillId="0" fontId="2" numFmtId="0" xfId="0" applyAlignment="1" applyBorder="1" applyFont="1">
      <alignment horizontal="center"/>
    </xf>
    <xf borderId="13" fillId="0" fontId="2" numFmtId="0" xfId="0" applyAlignment="1" applyBorder="1" applyFont="1">
      <alignment horizontal="center"/>
    </xf>
    <xf borderId="13" fillId="0" fontId="18" numFmtId="0" xfId="0" applyAlignment="1" applyBorder="1" applyFont="1">
      <alignment horizontal="center" readingOrder="0" vertical="bottom"/>
    </xf>
    <xf borderId="78" fillId="4" fontId="8" numFmtId="166" xfId="0" applyAlignment="1" applyBorder="1" applyFont="1" applyNumberFormat="1">
      <alignment horizontal="center" vertical="center"/>
    </xf>
    <xf borderId="72" fillId="0" fontId="1" numFmtId="0" xfId="0" applyAlignment="1" applyBorder="1" applyFont="1">
      <alignment horizontal="center" readingOrder="0"/>
    </xf>
    <xf borderId="72" fillId="0" fontId="19" numFmtId="0" xfId="0" applyAlignment="1" applyBorder="1" applyFont="1">
      <alignment horizontal="center" readingOrder="0"/>
    </xf>
    <xf borderId="0" fillId="0" fontId="1" numFmtId="166" xfId="0" applyFont="1" applyNumberFormat="1"/>
    <xf borderId="79" fillId="0" fontId="1" numFmtId="0" xfId="0" applyAlignment="1" applyBorder="1" applyFont="1">
      <alignment horizontal="center" readingOrder="0" shrinkToFit="0" wrapText="1"/>
    </xf>
    <xf borderId="38" fillId="0" fontId="1" numFmtId="0" xfId="0" applyAlignment="1" applyBorder="1" applyFont="1">
      <alignment horizontal="center" readingOrder="0" shrinkToFit="0" wrapText="1"/>
    </xf>
    <xf borderId="38" fillId="0" fontId="17" numFmtId="0" xfId="0" applyAlignment="1" applyBorder="1" applyFont="1">
      <alignment horizontal="center" shrinkToFit="0" vertical="center" wrapText="1"/>
    </xf>
    <xf borderId="39" fillId="0" fontId="17" numFmtId="0" xfId="0" applyAlignment="1" applyBorder="1" applyFont="1">
      <alignment horizontal="center" shrinkToFit="0" vertical="center" wrapText="1"/>
    </xf>
    <xf borderId="80" fillId="0" fontId="2" numFmtId="0" xfId="0" applyAlignment="1" applyBorder="1" applyFont="1">
      <alignment horizontal="center"/>
    </xf>
    <xf borderId="38" fillId="0" fontId="7" numFmtId="0" xfId="0" applyAlignment="1" applyBorder="1" applyFont="1">
      <alignment horizontal="center" readingOrder="0" vertical="bottom"/>
    </xf>
    <xf borderId="38" fillId="0" fontId="2" numFmtId="0" xfId="0" applyAlignment="1" applyBorder="1" applyFont="1">
      <alignment horizontal="center"/>
    </xf>
    <xf borderId="38" fillId="0" fontId="18" numFmtId="0" xfId="0" applyAlignment="1" applyBorder="1" applyFont="1">
      <alignment horizontal="center" vertical="bottom"/>
    </xf>
    <xf borderId="38" fillId="0" fontId="18" numFmtId="0" xfId="0" applyAlignment="1" applyBorder="1" applyFont="1">
      <alignment horizontal="center" readingOrder="0" vertical="bottom"/>
    </xf>
    <xf borderId="38" fillId="0" fontId="7" numFmtId="0" xfId="0" applyAlignment="1" applyBorder="1" applyFont="1">
      <alignment horizontal="center" vertical="bottom"/>
    </xf>
    <xf borderId="38" fillId="0" fontId="7" numFmtId="0" xfId="0" applyAlignment="1" applyBorder="1" applyFont="1">
      <alignment horizontal="center" shrinkToFit="0" vertical="center" wrapText="1"/>
    </xf>
    <xf borderId="39" fillId="0" fontId="7" numFmtId="0" xfId="0" applyAlignment="1" applyBorder="1" applyFont="1">
      <alignment horizontal="center" shrinkToFit="0" vertical="center" wrapText="1"/>
    </xf>
    <xf borderId="12" fillId="0" fontId="7" numFmtId="0" xfId="0" applyAlignment="1" applyBorder="1" applyFont="1">
      <alignment horizontal="center"/>
    </xf>
    <xf borderId="12" fillId="0" fontId="17" numFmtId="0" xfId="0" applyAlignment="1" applyBorder="1" applyFont="1">
      <alignment horizontal="center" shrinkToFit="0" vertical="bottom" wrapText="0"/>
    </xf>
    <xf borderId="38" fillId="0" fontId="2" numFmtId="0" xfId="0" applyAlignment="1" applyBorder="1" applyFont="1">
      <alignment horizontal="center" readingOrder="0"/>
    </xf>
    <xf borderId="13" fillId="0" fontId="1" numFmtId="0" xfId="0" applyAlignment="1" applyBorder="1" applyFont="1">
      <alignment horizontal="center" shrinkToFit="0" vertical="center" wrapText="1"/>
    </xf>
    <xf borderId="81" fillId="0" fontId="1" numFmtId="0" xfId="0" applyAlignment="1" applyBorder="1" applyFont="1">
      <alignment horizontal="center" shrinkToFit="0" vertical="center" wrapText="1"/>
    </xf>
    <xf borderId="12" fillId="0" fontId="1" numFmtId="0" xfId="0" applyAlignment="1" applyBorder="1" applyFont="1">
      <alignment horizontal="center"/>
    </xf>
    <xf borderId="38" fillId="0" fontId="1" numFmtId="0" xfId="0" applyAlignment="1" applyBorder="1" applyFont="1">
      <alignment horizontal="center" readingOrder="0"/>
    </xf>
    <xf borderId="38" fillId="0" fontId="1" numFmtId="0" xfId="0" applyAlignment="1" applyBorder="1" applyFont="1">
      <alignment horizontal="center" shrinkToFit="0" vertical="center" wrapText="1"/>
    </xf>
    <xf borderId="39" fillId="0" fontId="1" numFmtId="0" xfId="0" applyAlignment="1" applyBorder="1" applyFont="1">
      <alignment horizontal="center" shrinkToFit="0" vertical="center" wrapText="1"/>
    </xf>
    <xf borderId="38" fillId="0" fontId="1" numFmtId="0" xfId="0" applyAlignment="1" applyBorder="1" applyFont="1">
      <alignment horizontal="center" readingOrder="0" shrinkToFit="0" vertical="center" wrapText="1"/>
    </xf>
    <xf borderId="39" fillId="0" fontId="1" numFmtId="0" xfId="0" applyAlignment="1" applyBorder="1" applyFont="1">
      <alignment horizontal="center" readingOrder="0" shrinkToFit="0" vertical="center" wrapText="1"/>
    </xf>
    <xf borderId="12" fillId="0" fontId="1" numFmtId="0" xfId="0" applyAlignment="1" applyBorder="1" applyFont="1">
      <alignment horizontal="center" readingOrder="0"/>
    </xf>
    <xf borderId="82" fillId="0" fontId="1" numFmtId="0" xfId="0" applyAlignment="1" applyBorder="1" applyFont="1">
      <alignment horizontal="center" readingOrder="0" shrinkToFit="0" wrapText="1"/>
    </xf>
    <xf borderId="83" fillId="0" fontId="1" numFmtId="0" xfId="0" applyAlignment="1" applyBorder="1" applyFont="1">
      <alignment horizontal="center" readingOrder="0" shrinkToFit="0" wrapText="1"/>
    </xf>
    <xf borderId="83" fillId="0" fontId="1" numFmtId="0" xfId="0" applyAlignment="1" applyBorder="1" applyFont="1">
      <alignment horizontal="center" readingOrder="0" shrinkToFit="0" vertical="center" wrapText="1"/>
    </xf>
    <xf borderId="84" fillId="0" fontId="1" numFmtId="0" xfId="0" applyAlignment="1" applyBorder="1" applyFont="1">
      <alignment horizontal="center" readingOrder="0" shrinkToFit="0" vertical="center" wrapText="1"/>
    </xf>
    <xf borderId="27" fillId="0" fontId="1" numFmtId="0" xfId="0" applyAlignment="1" applyBorder="1" applyFont="1">
      <alignment horizontal="center" readingOrder="0"/>
    </xf>
    <xf borderId="28" fillId="0" fontId="2" numFmtId="0" xfId="0" applyAlignment="1" applyBorder="1" applyFont="1">
      <alignment horizontal="center"/>
    </xf>
    <xf borderId="85" fillId="0" fontId="2" numFmtId="0" xfId="0" applyAlignment="1" applyBorder="1" applyFont="1">
      <alignment horizontal="center"/>
    </xf>
    <xf borderId="83" fillId="0" fontId="1" numFmtId="0" xfId="0" applyAlignment="1" applyBorder="1" applyFont="1">
      <alignment horizontal="center" readingOrder="0"/>
    </xf>
    <xf borderId="86" fillId="0" fontId="1" numFmtId="0" xfId="0" applyAlignment="1" applyBorder="1" applyFont="1">
      <alignment horizontal="center" readingOrder="0"/>
    </xf>
    <xf borderId="87" fillId="4" fontId="8" numFmtId="0" xfId="0" applyAlignment="1" applyBorder="1" applyFont="1">
      <alignment horizontal="center" vertical="center"/>
    </xf>
    <xf borderId="88" fillId="4" fontId="8" numFmtId="166" xfId="0" applyAlignment="1" applyBorder="1" applyFont="1" applyNumberFormat="1">
      <alignment horizontal="center" vertical="center"/>
    </xf>
    <xf borderId="27" fillId="0" fontId="2" numFmtId="0" xfId="0" applyAlignment="1" applyBorder="1" applyFont="1">
      <alignment horizontal="center"/>
    </xf>
    <xf borderId="83" fillId="0" fontId="2" numFmtId="0" xfId="0" applyAlignment="1" applyBorder="1" applyFont="1">
      <alignment horizontal="center" readingOrder="0"/>
    </xf>
    <xf borderId="89" fillId="4" fontId="20" numFmtId="0" xfId="0" applyAlignment="1" applyBorder="1" applyFont="1">
      <alignment horizontal="center" readingOrder="0"/>
    </xf>
    <xf borderId="90" fillId="7" fontId="21" numFmtId="0" xfId="0" applyAlignment="1" applyBorder="1" applyFill="1" applyFont="1">
      <alignment horizontal="center" vertical="center"/>
    </xf>
    <xf borderId="91" fillId="7" fontId="22" numFmtId="0" xfId="0" applyAlignment="1" applyBorder="1" applyFont="1">
      <alignment horizontal="left" vertical="center"/>
    </xf>
    <xf borderId="48" fillId="7" fontId="22" numFmtId="0" xfId="0" applyAlignment="1" applyBorder="1" applyFont="1">
      <alignment horizontal="left" vertical="center"/>
    </xf>
    <xf borderId="71" fillId="7" fontId="23" numFmtId="0" xfId="0" applyAlignment="1" applyBorder="1" applyFont="1">
      <alignment horizontal="center" vertical="center"/>
    </xf>
    <xf borderId="0" fillId="0" fontId="24" numFmtId="0" xfId="0" applyAlignment="1" applyFont="1">
      <alignment horizontal="center" readingOrder="0" vertical="center"/>
    </xf>
    <xf borderId="92" fillId="7" fontId="21" numFmtId="0" xfId="0" applyAlignment="1" applyBorder="1" applyFont="1">
      <alignment horizontal="center" vertical="center"/>
    </xf>
    <xf borderId="93" fillId="7" fontId="22" numFmtId="0" xfId="0" applyAlignment="1" applyBorder="1" applyFont="1">
      <alignment horizontal="left" vertical="center"/>
    </xf>
    <xf borderId="94" fillId="7" fontId="22" numFmtId="0" xfId="0" applyAlignment="1" applyBorder="1" applyFont="1">
      <alignment horizontal="left" vertical="center"/>
    </xf>
    <xf borderId="95" fillId="7" fontId="23" numFmtId="0" xfId="0" applyAlignment="1" applyBorder="1" applyFont="1">
      <alignment horizontal="center" vertical="center"/>
    </xf>
    <xf borderId="61" fillId="7" fontId="21" numFmtId="0" xfId="0" applyAlignment="1" applyBorder="1" applyFont="1">
      <alignment horizontal="center" vertical="center"/>
    </xf>
    <xf borderId="96" fillId="7" fontId="25" numFmtId="0" xfId="0" applyAlignment="1" applyBorder="1" applyFont="1">
      <alignment horizontal="left" vertical="center"/>
    </xf>
    <xf borderId="97" fillId="7" fontId="25" numFmtId="0" xfId="0" applyAlignment="1" applyBorder="1" applyFont="1">
      <alignment horizontal="left" vertical="center"/>
    </xf>
    <xf borderId="62" fillId="7" fontId="26" numFmtId="0" xfId="0" applyAlignment="1" applyBorder="1" applyFont="1">
      <alignment horizontal="center" vertical="center"/>
    </xf>
    <xf borderId="98" fillId="8" fontId="27" numFmtId="0" xfId="0" applyAlignment="1" applyBorder="1" applyFill="1" applyFont="1">
      <alignment horizontal="center" readingOrder="0" vertical="center"/>
    </xf>
    <xf borderId="99" fillId="0" fontId="3" numFmtId="0" xfId="0" applyBorder="1" applyFont="1"/>
    <xf borderId="100" fillId="0" fontId="3" numFmtId="0" xfId="0" applyBorder="1" applyFont="1"/>
    <xf borderId="33" fillId="8" fontId="28" numFmtId="0" xfId="0" applyAlignment="1" applyBorder="1" applyFont="1">
      <alignment horizontal="center" readingOrder="0" vertical="center"/>
    </xf>
    <xf borderId="101" fillId="8" fontId="28" numFmtId="0" xfId="0" applyAlignment="1" applyBorder="1" applyFont="1">
      <alignment horizontal="center" readingOrder="0" vertical="center"/>
    </xf>
    <xf borderId="0" fillId="8" fontId="28" numFmtId="0" xfId="0" applyAlignment="1" applyFont="1">
      <alignment horizontal="center" readingOrder="0" vertical="center"/>
    </xf>
    <xf borderId="101" fillId="8" fontId="20" numFmtId="0" xfId="0" applyAlignment="1" applyBorder="1" applyFont="1">
      <alignment horizontal="center" readingOrder="0" vertical="center"/>
    </xf>
    <xf borderId="0" fillId="8" fontId="29" numFmtId="0" xfId="0" applyAlignment="1" applyFont="1">
      <alignment horizontal="center" readingOrder="0" vertical="center"/>
    </xf>
    <xf borderId="102" fillId="8" fontId="29" numFmtId="0" xfId="0" applyAlignment="1" applyBorder="1" applyFont="1">
      <alignment horizontal="center" readingOrder="0" vertical="center"/>
    </xf>
    <xf borderId="50" fillId="8" fontId="29" numFmtId="0" xfId="0" applyAlignment="1" applyBorder="1" applyFont="1">
      <alignment horizontal="center" readingOrder="0" vertical="center"/>
    </xf>
    <xf borderId="101" fillId="0" fontId="3" numFmtId="0" xfId="0" applyBorder="1" applyFont="1"/>
    <xf borderId="102" fillId="0" fontId="3" numFmtId="0" xfId="0" applyBorder="1" applyFont="1"/>
    <xf borderId="33" fillId="0" fontId="30" numFmtId="0" xfId="0" applyAlignment="1" applyBorder="1" applyFont="1">
      <alignment horizontal="center" vertical="center"/>
    </xf>
    <xf borderId="0" fillId="0" fontId="31" numFmtId="0" xfId="0" applyAlignment="1" applyFont="1">
      <alignment horizontal="center" readingOrder="0" vertical="center"/>
    </xf>
    <xf borderId="0" fillId="0" fontId="31" numFmtId="21" xfId="0" applyAlignment="1" applyFont="1" applyNumberFormat="1">
      <alignment horizontal="center" readingOrder="0" vertical="center"/>
    </xf>
    <xf borderId="0" fillId="0" fontId="31" numFmtId="0" xfId="0" applyAlignment="1" applyFont="1">
      <alignment horizontal="center" vertical="center"/>
    </xf>
    <xf borderId="0" fillId="0" fontId="31" numFmtId="167" xfId="0" applyAlignment="1" applyFont="1" applyNumberFormat="1">
      <alignment horizontal="center" vertical="center"/>
    </xf>
    <xf borderId="50" fillId="0" fontId="31" numFmtId="0" xfId="0" applyAlignment="1" applyBorder="1" applyFont="1">
      <alignment horizontal="center" vertical="center"/>
    </xf>
    <xf borderId="33" fillId="0" fontId="32" numFmtId="0" xfId="0" applyAlignment="1" applyBorder="1" applyFont="1">
      <alignment horizontal="center" vertical="center"/>
    </xf>
    <xf borderId="103" fillId="0" fontId="32" numFmtId="0" xfId="0" applyAlignment="1" applyBorder="1" applyFont="1">
      <alignment horizontal="center" vertical="center"/>
    </xf>
    <xf borderId="25" fillId="0" fontId="31" numFmtId="0" xfId="0" applyAlignment="1" applyBorder="1" applyFont="1">
      <alignment horizontal="center" readingOrder="0" vertical="center"/>
    </xf>
    <xf borderId="25" fillId="0" fontId="31" numFmtId="21" xfId="0" applyAlignment="1" applyBorder="1" applyFont="1" applyNumberFormat="1">
      <alignment horizontal="center" readingOrder="0" vertical="center"/>
    </xf>
    <xf borderId="25" fillId="0" fontId="31" numFmtId="0" xfId="0" applyAlignment="1" applyBorder="1" applyFont="1">
      <alignment horizontal="center" vertical="center"/>
    </xf>
    <xf borderId="25" fillId="0" fontId="31" numFmtId="167" xfId="0" applyAlignment="1" applyBorder="1" applyFont="1" applyNumberFormat="1">
      <alignment horizontal="center" vertical="center"/>
    </xf>
    <xf borderId="44" fillId="0" fontId="31" numFmtId="0" xfId="0" applyAlignment="1" applyBorder="1" applyFont="1">
      <alignment horizontal="center" vertical="center"/>
    </xf>
    <xf borderId="104" fillId="8" fontId="27" numFmtId="0" xfId="0" applyAlignment="1" applyBorder="1" applyFont="1">
      <alignment horizontal="center" readingOrder="0" vertical="center"/>
    </xf>
    <xf borderId="105" fillId="0" fontId="3" numFmtId="0" xfId="0" applyBorder="1" applyFont="1"/>
    <xf borderId="106" fillId="0" fontId="3" numFmtId="0" xfId="0" applyBorder="1" applyFont="1"/>
    <xf borderId="4" fillId="8" fontId="29" numFmtId="0" xfId="0" applyAlignment="1" applyBorder="1" applyFont="1">
      <alignment horizontal="center" readingOrder="0" vertical="center"/>
    </xf>
    <xf borderId="101" fillId="8" fontId="33" numFmtId="0" xfId="0" applyAlignment="1" applyBorder="1" applyFont="1">
      <alignment horizontal="center" readingOrder="0" vertical="center"/>
    </xf>
    <xf borderId="107" fillId="8" fontId="29" numFmtId="0" xfId="0" applyAlignment="1" applyBorder="1" applyFont="1">
      <alignment horizontal="center" readingOrder="0" vertical="center"/>
    </xf>
    <xf borderId="4" fillId="0" fontId="3" numFmtId="0" xfId="0" applyBorder="1" applyFont="1"/>
    <xf borderId="0" fillId="8" fontId="34" numFmtId="0" xfId="0" applyAlignment="1" applyFont="1">
      <alignment horizontal="center" readingOrder="0" vertical="center"/>
    </xf>
    <xf borderId="107" fillId="0" fontId="3" numFmtId="0" xfId="0" applyBorder="1" applyFont="1"/>
    <xf borderId="0" fillId="0" fontId="35" numFmtId="0" xfId="0" applyAlignment="1" applyFont="1">
      <alignment horizontal="center" readingOrder="0" vertical="center"/>
    </xf>
    <xf borderId="0" fillId="0" fontId="35" numFmtId="21" xfId="0" applyAlignment="1" applyFont="1" applyNumberFormat="1">
      <alignment horizontal="center" readingOrder="0" vertical="center"/>
    </xf>
    <xf borderId="0" fillId="0" fontId="35" numFmtId="0" xfId="0" applyAlignment="1" applyFont="1">
      <alignment horizontal="center" vertical="center"/>
    </xf>
    <xf borderId="0" fillId="0" fontId="35" numFmtId="167" xfId="0" applyAlignment="1" applyFont="1" applyNumberFormat="1">
      <alignment horizontal="center" vertical="center"/>
    </xf>
    <xf borderId="107" fillId="0" fontId="35" numFmtId="0" xfId="0" applyAlignment="1" applyBorder="1" applyFont="1">
      <alignment horizontal="center" vertical="center"/>
    </xf>
    <xf borderId="4" fillId="0" fontId="24" numFmtId="0" xfId="0" applyAlignment="1" applyBorder="1" applyFont="1">
      <alignment horizontal="center" vertical="center"/>
    </xf>
    <xf borderId="61" fillId="9" fontId="36" numFmtId="0" xfId="0" applyAlignment="1" applyBorder="1" applyFill="1" applyFont="1">
      <alignment horizontal="center" readingOrder="0"/>
    </xf>
    <xf borderId="97" fillId="0" fontId="3" numFmtId="0" xfId="0" applyBorder="1" applyFont="1"/>
    <xf borderId="61" fillId="10" fontId="37" numFmtId="0" xfId="0" applyAlignment="1" applyBorder="1" applyFill="1" applyFont="1">
      <alignment horizontal="center" vertical="bottom"/>
    </xf>
    <xf borderId="61" fillId="0" fontId="36" numFmtId="0" xfId="0" applyAlignment="1" applyBorder="1" applyFont="1">
      <alignment horizontal="center" readingOrder="0"/>
    </xf>
    <xf borderId="97" fillId="0" fontId="36" numFmtId="0" xfId="0" applyAlignment="1" applyBorder="1" applyFont="1">
      <alignment horizontal="center" readingOrder="0"/>
    </xf>
    <xf borderId="62" fillId="0" fontId="36" numFmtId="0" xfId="0" applyAlignment="1" applyBorder="1" applyFont="1">
      <alignment horizontal="center" readingOrder="0"/>
    </xf>
    <xf borderId="72" fillId="9" fontId="10" numFmtId="0" xfId="0" applyAlignment="1" applyBorder="1" applyFont="1">
      <alignment horizontal="center" readingOrder="0"/>
    </xf>
    <xf borderId="72" fillId="10" fontId="18" numFmtId="0" xfId="0" applyAlignment="1" applyBorder="1" applyFont="1">
      <alignment horizontal="center" vertical="bottom"/>
    </xf>
    <xf borderId="72" fillId="0" fontId="10" numFmtId="0" xfId="0" applyAlignment="1" applyBorder="1" applyFont="1">
      <alignment horizontal="center" readingOrder="0"/>
    </xf>
    <xf borderId="0" fillId="9" fontId="10" numFmtId="0" xfId="0" applyAlignment="1" applyFont="1">
      <alignment readingOrder="0"/>
    </xf>
    <xf borderId="0" fillId="9" fontId="10" numFmtId="0" xfId="0" applyAlignment="1" applyFont="1">
      <alignment horizontal="center" readingOrder="0"/>
    </xf>
    <xf borderId="0" fillId="9" fontId="10" numFmtId="168" xfId="0" applyAlignment="1" applyFont="1" applyNumberFormat="1">
      <alignment horizontal="center" readingOrder="0"/>
    </xf>
    <xf borderId="0" fillId="10" fontId="10" numFmtId="0" xfId="0" applyAlignment="1" applyFont="1">
      <alignment horizontal="center" readingOrder="0"/>
    </xf>
    <xf borderId="108" fillId="6" fontId="38" numFmtId="168" xfId="0" applyAlignment="1" applyBorder="1" applyFont="1" applyNumberFormat="1">
      <alignment horizontal="right" shrinkToFit="0" wrapText="0"/>
    </xf>
    <xf borderId="109" fillId="6" fontId="38" numFmtId="168" xfId="0" applyAlignment="1" applyBorder="1" applyFont="1" applyNumberFormat="1">
      <alignment shrinkToFit="0" wrapText="0"/>
    </xf>
    <xf borderId="109" fillId="6" fontId="38" numFmtId="0" xfId="0" applyAlignment="1" applyBorder="1" applyFont="1">
      <alignment shrinkToFit="0" wrapText="0"/>
    </xf>
    <xf borderId="109" fillId="6" fontId="38" numFmtId="0" xfId="0" applyAlignment="1" applyBorder="1" applyFont="1">
      <alignment readingOrder="0" shrinkToFit="0" wrapText="0"/>
    </xf>
    <xf borderId="109" fillId="6" fontId="38" numFmtId="168" xfId="0" applyAlignment="1" applyBorder="1" applyFont="1" applyNumberFormat="1">
      <alignment readingOrder="0" shrinkToFit="0" wrapText="0"/>
    </xf>
    <xf borderId="110" fillId="6" fontId="38" numFmtId="168" xfId="0" applyAlignment="1" applyBorder="1" applyFont="1" applyNumberFormat="1">
      <alignment shrinkToFit="0" wrapText="0"/>
    </xf>
    <xf borderId="111" fillId="6" fontId="38" numFmtId="168" xfId="0" applyAlignment="1" applyBorder="1" applyFont="1" applyNumberFormat="1">
      <alignment horizontal="right" shrinkToFit="0" wrapText="0"/>
    </xf>
    <xf borderId="112" fillId="6" fontId="38" numFmtId="168" xfId="0" applyAlignment="1" applyBorder="1" applyFont="1" applyNumberFormat="1">
      <alignment shrinkToFit="0" wrapText="0"/>
    </xf>
    <xf borderId="112" fillId="6" fontId="38" numFmtId="168" xfId="0" applyAlignment="1" applyBorder="1" applyFont="1" applyNumberFormat="1">
      <alignment readingOrder="0" shrinkToFit="0" wrapText="0"/>
    </xf>
    <xf borderId="112" fillId="6" fontId="38" numFmtId="0" xfId="0" applyAlignment="1" applyBorder="1" applyFont="1">
      <alignment shrinkToFit="0" wrapText="0"/>
    </xf>
    <xf borderId="113" fillId="6" fontId="38" numFmtId="0" xfId="0" applyAlignment="1" applyBorder="1" applyFont="1">
      <alignment shrinkToFit="0" wrapText="0"/>
    </xf>
    <xf borderId="0" fillId="10" fontId="10" numFmtId="0" xfId="0" applyAlignment="1" applyFont="1">
      <alignment horizontal="center"/>
    </xf>
    <xf borderId="112" fillId="6" fontId="38" numFmtId="0" xfId="0" applyAlignment="1" applyBorder="1" applyFont="1">
      <alignment readingOrder="0" shrinkToFit="0" wrapText="0"/>
    </xf>
    <xf borderId="38" fillId="0" fontId="10" numFmtId="0" xfId="0" applyAlignment="1" applyBorder="1" applyFont="1">
      <alignment horizontal="center" readingOrder="0"/>
    </xf>
    <xf borderId="38" fillId="0" fontId="10" numFmtId="0" xfId="0" applyAlignment="1" applyBorder="1" applyFont="1">
      <alignment horizontal="center"/>
    </xf>
    <xf borderId="38" fillId="0" fontId="10" numFmtId="0" xfId="0" applyAlignment="1" applyBorder="1" applyFont="1">
      <alignment readingOrder="0"/>
    </xf>
    <xf borderId="0" fillId="0" fontId="36" numFmtId="0" xfId="0" applyFont="1"/>
    <xf borderId="0" fillId="11" fontId="39" numFmtId="0" xfId="0" applyAlignment="1" applyFill="1" applyFont="1">
      <alignment horizontal="center" readingOrder="0" vertical="center"/>
    </xf>
    <xf borderId="0" fillId="6" fontId="36" numFmtId="168" xfId="0" applyAlignment="1" applyFont="1" applyNumberFormat="1">
      <alignment horizontal="center" vertical="center"/>
    </xf>
    <xf borderId="114" fillId="3" fontId="40" numFmtId="0" xfId="0" applyAlignment="1" applyBorder="1" applyFont="1">
      <alignment horizontal="center" readingOrder="0" vertical="center"/>
    </xf>
    <xf borderId="115" fillId="3" fontId="41" numFmtId="0" xfId="0" applyAlignment="1" applyBorder="1" applyFont="1">
      <alignment horizontal="center" readingOrder="0" vertical="center"/>
    </xf>
    <xf borderId="115" fillId="3" fontId="42" numFmtId="0" xfId="0" applyAlignment="1" applyBorder="1" applyFont="1">
      <alignment horizontal="center" readingOrder="0" vertical="center"/>
    </xf>
    <xf borderId="116" fillId="0" fontId="3" numFmtId="0" xfId="0" applyBorder="1" applyFont="1"/>
    <xf borderId="117" fillId="6" fontId="31" numFmtId="0" xfId="0" applyAlignment="1" applyBorder="1" applyFont="1">
      <alignment horizontal="center" vertical="center"/>
    </xf>
    <xf borderId="118" fillId="6" fontId="36" numFmtId="0" xfId="0" applyAlignment="1" applyBorder="1" applyFont="1">
      <alignment horizontal="center" vertical="center"/>
    </xf>
    <xf borderId="118" fillId="6" fontId="43" numFmtId="0" xfId="0" applyAlignment="1" applyBorder="1" applyFont="1">
      <alignment horizontal="center" readingOrder="0" vertical="center"/>
    </xf>
    <xf borderId="118" fillId="6" fontId="31" numFmtId="0" xfId="0" applyAlignment="1" applyBorder="1" applyFont="1">
      <alignment horizontal="center" vertical="center"/>
    </xf>
    <xf borderId="119" fillId="0" fontId="3" numFmtId="0" xfId="0" applyBorder="1" applyFont="1"/>
    <xf borderId="120" fillId="12" fontId="40" numFmtId="0" xfId="0" applyAlignment="1" applyBorder="1" applyFill="1" applyFont="1">
      <alignment horizontal="center" readingOrder="0" vertical="center"/>
    </xf>
    <xf borderId="121" fillId="6" fontId="31" numFmtId="0" xfId="0" applyAlignment="1" applyBorder="1" applyFont="1">
      <alignment horizontal="center" readingOrder="0" vertical="center"/>
    </xf>
    <xf borderId="122" fillId="12" fontId="40" numFmtId="0" xfId="0" applyAlignment="1" applyBorder="1" applyFont="1">
      <alignment horizontal="center" readingOrder="0" vertical="center"/>
    </xf>
    <xf borderId="123" fillId="6" fontId="40" numFmtId="0" xfId="0" applyAlignment="1" applyBorder="1" applyFont="1">
      <alignment horizontal="center" readingOrder="0" vertical="center"/>
    </xf>
    <xf borderId="124" fillId="0" fontId="3" numFmtId="0" xfId="0" applyBorder="1" applyFont="1"/>
    <xf borderId="125" fillId="12" fontId="40" numFmtId="0" xfId="0" applyAlignment="1" applyBorder="1" applyFont="1">
      <alignment horizontal="center" readingOrder="0" vertical="center"/>
    </xf>
    <xf borderId="126" fillId="6" fontId="44" numFmtId="0" xfId="0" applyAlignment="1" applyBorder="1" applyFont="1">
      <alignment horizontal="center" readingOrder="0" vertical="center"/>
    </xf>
    <xf borderId="127" fillId="12" fontId="40" numFmtId="0" xfId="0" applyAlignment="1" applyBorder="1" applyFont="1">
      <alignment horizontal="center" readingOrder="0" vertical="center"/>
    </xf>
    <xf borderId="128" fillId="6" fontId="42" numFmtId="0" xfId="0" applyAlignment="1" applyBorder="1" applyFont="1">
      <alignment horizontal="center" readingOrder="0" vertical="center"/>
    </xf>
    <xf borderId="71" fillId="0" fontId="3" numFmtId="0" xfId="0" applyBorder="1" applyFont="1"/>
    <xf borderId="4" fillId="12" fontId="40" numFmtId="0" xfId="0" applyAlignment="1" applyBorder="1" applyFont="1">
      <alignment horizontal="center" readingOrder="0" vertical="center"/>
    </xf>
    <xf borderId="129" fillId="0" fontId="40" numFmtId="0" xfId="0" applyAlignment="1" applyBorder="1" applyFont="1">
      <alignment horizontal="center" readingOrder="0" vertical="center"/>
    </xf>
    <xf borderId="89" fillId="13" fontId="40" numFmtId="0" xfId="0" applyAlignment="1" applyBorder="1" applyFill="1" applyFont="1">
      <alignment horizontal="center" readingOrder="0" vertical="center"/>
    </xf>
    <xf borderId="130" fillId="13" fontId="45" numFmtId="0" xfId="0" applyAlignment="1" applyBorder="1" applyFont="1">
      <alignment horizontal="left" shrinkToFit="0" vertical="center" wrapText="1"/>
    </xf>
    <xf borderId="131" fillId="12" fontId="41" numFmtId="0" xfId="0" applyAlignment="1" applyBorder="1" applyFont="1">
      <alignment horizontal="center" readingOrder="0" vertical="center"/>
    </xf>
    <xf borderId="123" fillId="0" fontId="10" numFmtId="21" xfId="0" applyAlignment="1" applyBorder="1" applyFont="1" applyNumberFormat="1">
      <alignment horizontal="center" readingOrder="0" vertical="center"/>
    </xf>
    <xf borderId="132" fillId="0" fontId="3" numFmtId="0" xfId="0" applyBorder="1" applyFont="1"/>
    <xf borderId="133" fillId="12" fontId="41" numFmtId="0" xfId="0" applyAlignment="1" applyBorder="1" applyFont="1">
      <alignment horizontal="center" readingOrder="0" vertical="center"/>
    </xf>
    <xf borderId="134" fillId="0" fontId="10" numFmtId="0" xfId="0" applyAlignment="1" applyBorder="1" applyFont="1">
      <alignment horizontal="center" readingOrder="0" vertical="center"/>
    </xf>
    <xf borderId="90" fillId="12" fontId="41" numFmtId="0" xfId="0" applyAlignment="1" applyBorder="1" applyFont="1">
      <alignment horizontal="center" readingOrder="0" vertical="center"/>
    </xf>
    <xf borderId="128" fillId="0" fontId="10" numFmtId="0" xfId="0" applyAlignment="1" applyBorder="1" applyFont="1">
      <alignment horizontal="center" vertical="center"/>
    </xf>
    <xf borderId="135" fillId="12" fontId="41" numFmtId="0" xfId="0" applyAlignment="1" applyBorder="1" applyFont="1">
      <alignment horizontal="center" readingOrder="0" vertical="center"/>
    </xf>
    <xf borderId="136" fillId="0" fontId="10" numFmtId="0" xfId="0" applyAlignment="1" applyBorder="1" applyFont="1">
      <alignment horizontal="center" readingOrder="0" vertical="center"/>
    </xf>
    <xf borderId="61" fillId="12" fontId="41" numFmtId="0" xfId="0" applyAlignment="1" applyBorder="1" applyFont="1">
      <alignment horizontal="center" readingOrder="0" vertical="center"/>
    </xf>
    <xf borderId="137" fillId="0" fontId="31" numFmtId="0" xfId="0" applyAlignment="1" applyBorder="1" applyFont="1">
      <alignment horizontal="center" vertical="center"/>
    </xf>
    <xf borderId="138" fillId="0" fontId="3" numFmtId="0" xfId="0" applyBorder="1" applyFont="1"/>
    <xf borderId="139" fillId="12" fontId="41" numFmtId="0" xfId="0" applyAlignment="1" applyBorder="1" applyFont="1">
      <alignment horizontal="center" readingOrder="0" vertical="center"/>
    </xf>
    <xf borderId="140" fillId="0" fontId="43" numFmtId="167" xfId="0" applyAlignment="1" applyBorder="1" applyFont="1" applyNumberFormat="1">
      <alignment horizontal="center" readingOrder="0" vertical="center"/>
    </xf>
    <xf borderId="0" fillId="6" fontId="10" numFmtId="0" xfId="0" applyFont="1"/>
    <xf borderId="0" fillId="0" fontId="10" numFmtId="0" xfId="0" applyAlignment="1" applyFont="1">
      <alignment horizontal="center"/>
    </xf>
    <xf borderId="0" fillId="14" fontId="39" numFmtId="0" xfId="0" applyAlignment="1" applyFill="1" applyFont="1">
      <alignment horizontal="center" readingOrder="0" vertical="center"/>
    </xf>
    <xf borderId="0" fillId="15" fontId="39" numFmtId="0" xfId="0" applyAlignment="1" applyFill="1" applyFont="1">
      <alignment horizontal="center" readingOrder="0" vertical="center"/>
    </xf>
    <xf borderId="0" fillId="16" fontId="39" numFmtId="0" xfId="0" applyAlignment="1" applyFill="1" applyFont="1">
      <alignment horizontal="center" readingOrder="0" vertical="center"/>
    </xf>
    <xf borderId="0" fillId="17" fontId="39" numFmtId="0" xfId="0" applyAlignment="1" applyFill="1" applyFont="1">
      <alignment horizontal="center" readingOrder="0" vertical="center"/>
    </xf>
    <xf borderId="0" fillId="18" fontId="39" numFmtId="0" xfId="0" applyAlignment="1" applyFill="1" applyFont="1">
      <alignment horizontal="center" readingOrder="0" vertical="center"/>
    </xf>
    <xf borderId="0" fillId="2" fontId="46" numFmtId="0" xfId="0" applyAlignment="1" applyFont="1">
      <alignment horizontal="center" readingOrder="0" vertical="center"/>
    </xf>
    <xf borderId="0" fillId="19" fontId="39" numFmtId="0" xfId="0" applyAlignment="1" applyFill="1" applyFont="1">
      <alignment horizontal="center" readingOrder="0" vertical="center"/>
    </xf>
    <xf borderId="122" fillId="20" fontId="40" numFmtId="0" xfId="0" applyAlignment="1" applyBorder="1" applyFill="1" applyFont="1">
      <alignment horizontal="center" readingOrder="0" vertical="center"/>
    </xf>
    <xf borderId="127" fillId="20" fontId="40" numFmtId="0" xfId="0" applyAlignment="1" applyBorder="1" applyFont="1">
      <alignment horizontal="center" readingOrder="0" vertical="center"/>
    </xf>
    <xf borderId="72" fillId="9" fontId="36" numFmtId="0" xfId="0" applyAlignment="1" applyBorder="1" applyFont="1">
      <alignment horizontal="center" readingOrder="0"/>
    </xf>
    <xf borderId="61" fillId="10" fontId="36" numFmtId="0" xfId="0" applyAlignment="1" applyBorder="1" applyFont="1">
      <alignment horizontal="center" readingOrder="0"/>
    </xf>
    <xf borderId="61" fillId="0" fontId="47" numFmtId="0" xfId="0" applyAlignment="1" applyBorder="1" applyFont="1">
      <alignment horizontal="right" readingOrder="0"/>
    </xf>
    <xf borderId="97" fillId="0" fontId="48" numFmtId="0" xfId="0" applyAlignment="1" applyBorder="1" applyFont="1">
      <alignment horizontal="left" readingOrder="0"/>
    </xf>
    <xf borderId="141" fillId="9" fontId="10" numFmtId="0" xfId="0" applyAlignment="1" applyBorder="1" applyFont="1">
      <alignment horizontal="center" readingOrder="0" shrinkToFit="0" vertical="center" wrapText="1"/>
    </xf>
    <xf borderId="142" fillId="9" fontId="10" numFmtId="0" xfId="0" applyAlignment="1" applyBorder="1" applyFont="1">
      <alignment horizontal="center" readingOrder="0" shrinkToFit="0" vertical="center" wrapText="1"/>
    </xf>
    <xf borderId="143" fillId="9" fontId="10" numFmtId="0" xfId="0" applyAlignment="1" applyBorder="1" applyFont="1">
      <alignment horizontal="center" readingOrder="0" shrinkToFit="0" vertical="center" wrapText="1"/>
    </xf>
    <xf borderId="12" fillId="9" fontId="10" numFmtId="0" xfId="0" applyAlignment="1" applyBorder="1" applyFont="1">
      <alignment horizontal="center" readingOrder="0" shrinkToFit="0" vertical="center" wrapText="1"/>
    </xf>
    <xf borderId="13" fillId="9" fontId="10" numFmtId="0" xfId="0" applyAlignment="1" applyBorder="1" applyFont="1">
      <alignment horizontal="center" readingOrder="0" shrinkToFit="0" vertical="center" wrapText="1"/>
    </xf>
    <xf borderId="42" fillId="9" fontId="10" numFmtId="0" xfId="0" applyAlignment="1" applyBorder="1" applyFont="1">
      <alignment horizontal="center" readingOrder="0" shrinkToFit="0" vertical="center" wrapText="1"/>
    </xf>
    <xf borderId="141" fillId="10" fontId="10" numFmtId="0" xfId="0" applyAlignment="1" applyBorder="1" applyFont="1">
      <alignment horizontal="center" readingOrder="0" shrinkToFit="0" vertical="center" wrapText="1"/>
    </xf>
    <xf borderId="142" fillId="10" fontId="10" numFmtId="0" xfId="0" applyAlignment="1" applyBorder="1" applyFont="1">
      <alignment horizontal="center" readingOrder="0" vertical="center"/>
    </xf>
    <xf borderId="143" fillId="10" fontId="10" numFmtId="0" xfId="0" applyAlignment="1" applyBorder="1" applyFont="1">
      <alignment horizontal="center" readingOrder="0" vertical="center"/>
    </xf>
    <xf borderId="141" fillId="0" fontId="10" numFmtId="0" xfId="0" applyAlignment="1" applyBorder="1" applyFont="1">
      <alignment horizontal="center" readingOrder="0" shrinkToFit="0" vertical="center" wrapText="1"/>
    </xf>
    <xf borderId="142" fillId="0" fontId="10" numFmtId="0" xfId="0" applyAlignment="1" applyBorder="1" applyFont="1">
      <alignment horizontal="center" readingOrder="0" shrinkToFit="0" vertical="center" wrapText="1"/>
    </xf>
    <xf borderId="62" fillId="0" fontId="10" numFmtId="0" xfId="0" applyAlignment="1" applyBorder="1" applyFont="1">
      <alignment horizontal="center" readingOrder="0" shrinkToFit="0" vertical="center" wrapText="1"/>
    </xf>
    <xf borderId="144" fillId="9" fontId="10" numFmtId="0" xfId="0" applyAlignment="1" applyBorder="1" applyFont="1">
      <alignment readingOrder="0"/>
    </xf>
    <xf borderId="145" fillId="9" fontId="10" numFmtId="0" xfId="0" applyAlignment="1" applyBorder="1" applyFont="1">
      <alignment readingOrder="0"/>
    </xf>
    <xf borderId="146" fillId="6" fontId="43" numFmtId="0" xfId="0" applyAlignment="1" applyBorder="1" applyFont="1">
      <alignment horizontal="center" readingOrder="0" vertical="center"/>
    </xf>
    <xf borderId="147" fillId="9" fontId="10" numFmtId="0" xfId="0" applyAlignment="1" applyBorder="1" applyFont="1">
      <alignment readingOrder="0"/>
    </xf>
    <xf borderId="12" fillId="9" fontId="10" numFmtId="0" xfId="0" applyAlignment="1" applyBorder="1" applyFont="1">
      <alignment readingOrder="0"/>
    </xf>
    <xf borderId="13" fillId="9" fontId="10" numFmtId="0" xfId="0" applyAlignment="1" applyBorder="1" applyFont="1">
      <alignment readingOrder="0"/>
    </xf>
    <xf borderId="42" fillId="9" fontId="10" numFmtId="0" xfId="0" applyAlignment="1" applyBorder="1" applyFont="1">
      <alignment readingOrder="0"/>
    </xf>
    <xf borderId="144" fillId="10" fontId="10" numFmtId="0" xfId="0" applyAlignment="1" applyBorder="1" applyFont="1">
      <alignment horizontal="center" readingOrder="0"/>
    </xf>
    <xf borderId="145" fillId="10" fontId="10" numFmtId="0" xfId="0" applyAlignment="1" applyBorder="1" applyFont="1">
      <alignment horizontal="center" readingOrder="0"/>
    </xf>
    <xf borderId="147" fillId="10" fontId="10" numFmtId="0" xfId="0" applyAlignment="1" applyBorder="1" applyFont="1">
      <alignment readingOrder="0"/>
    </xf>
    <xf borderId="131" fillId="0" fontId="10" numFmtId="0" xfId="0" applyAlignment="1" applyBorder="1" applyFont="1">
      <alignment horizontal="center" readingOrder="0"/>
    </xf>
    <xf borderId="148" fillId="0" fontId="3" numFmtId="0" xfId="0" applyBorder="1" applyFont="1"/>
    <xf borderId="145" fillId="0" fontId="10" numFmtId="0" xfId="0" applyAlignment="1" applyBorder="1" applyFont="1">
      <alignment readingOrder="0"/>
    </xf>
    <xf borderId="145" fillId="0" fontId="10" numFmtId="0" xfId="0" applyBorder="1" applyFont="1"/>
    <xf borderId="145" fillId="0" fontId="10" numFmtId="0" xfId="0" applyAlignment="1" applyBorder="1" applyFont="1">
      <alignment readingOrder="0"/>
    </xf>
    <xf borderId="147" fillId="0" fontId="10" numFmtId="0" xfId="0" applyBorder="1" applyFont="1"/>
    <xf borderId="149" fillId="9" fontId="10" numFmtId="0" xfId="0" applyAlignment="1" applyBorder="1" applyFont="1">
      <alignment readingOrder="0"/>
    </xf>
    <xf borderId="38" fillId="9" fontId="10" numFmtId="0" xfId="0" applyAlignment="1" applyBorder="1" applyFont="1">
      <alignment readingOrder="0"/>
    </xf>
    <xf borderId="146" fillId="9" fontId="10" numFmtId="0" xfId="0" applyAlignment="1" applyBorder="1" applyFont="1">
      <alignment readingOrder="0"/>
    </xf>
    <xf borderId="150" fillId="9" fontId="10" numFmtId="0" xfId="0" applyAlignment="1" applyBorder="1" applyFont="1">
      <alignment readingOrder="0"/>
    </xf>
    <xf borderId="18" fillId="9" fontId="10" numFmtId="0" xfId="0" applyAlignment="1" applyBorder="1" applyFont="1">
      <alignment readingOrder="0"/>
    </xf>
    <xf borderId="149" fillId="10" fontId="10" numFmtId="0" xfId="0" applyAlignment="1" applyBorder="1" applyFont="1">
      <alignment horizontal="center" readingOrder="0"/>
    </xf>
    <xf borderId="38" fillId="10" fontId="10" numFmtId="0" xfId="0" applyAlignment="1" applyBorder="1" applyFont="1">
      <alignment horizontal="center" readingOrder="0"/>
    </xf>
    <xf borderId="146" fillId="10" fontId="10" numFmtId="0" xfId="0" applyAlignment="1" applyBorder="1" applyFont="1">
      <alignment readingOrder="0"/>
    </xf>
    <xf borderId="151" fillId="0" fontId="10" numFmtId="0" xfId="0" applyAlignment="1" applyBorder="1" applyFont="1">
      <alignment horizontal="center" readingOrder="0"/>
    </xf>
    <xf borderId="17" fillId="0" fontId="3" numFmtId="0" xfId="0" applyBorder="1" applyFont="1"/>
    <xf borderId="150" fillId="0" fontId="3" numFmtId="0" xfId="0" applyBorder="1" applyFont="1"/>
    <xf borderId="38" fillId="0" fontId="10" numFmtId="0" xfId="0" applyBorder="1" applyFont="1"/>
    <xf borderId="38" fillId="0" fontId="10" numFmtId="0" xfId="0" applyAlignment="1" applyBorder="1" applyFont="1">
      <alignment readingOrder="0"/>
    </xf>
    <xf borderId="146" fillId="0" fontId="10" numFmtId="0" xfId="0" applyBorder="1" applyFont="1"/>
    <xf borderId="151" fillId="6" fontId="10" numFmtId="0" xfId="0" applyAlignment="1" applyBorder="1" applyFont="1">
      <alignment horizontal="center" readingOrder="0"/>
    </xf>
    <xf borderId="17" fillId="6" fontId="3" numFmtId="0" xfId="0" applyBorder="1" applyFont="1"/>
    <xf borderId="150" fillId="6" fontId="3" numFmtId="0" xfId="0" applyBorder="1" applyFont="1"/>
    <xf borderId="38" fillId="6" fontId="38" numFmtId="0" xfId="0" applyAlignment="1" applyBorder="1" applyFont="1">
      <alignment readingOrder="0" shrinkToFit="0" wrapText="0"/>
    </xf>
    <xf borderId="38" fillId="6" fontId="38" numFmtId="0" xfId="0" applyAlignment="1" applyBorder="1" applyFont="1">
      <alignment shrinkToFit="0" wrapText="0"/>
    </xf>
    <xf borderId="38" fillId="6" fontId="38" numFmtId="0" xfId="0" applyAlignment="1" applyBorder="1" applyFont="1">
      <alignment readingOrder="0" shrinkToFit="0" wrapText="0"/>
    </xf>
    <xf borderId="146" fillId="6" fontId="38" numFmtId="0" xfId="0" applyAlignment="1" applyBorder="1" applyFont="1">
      <alignment shrinkToFit="0" wrapText="0"/>
    </xf>
    <xf borderId="151" fillId="21" fontId="10" numFmtId="0" xfId="0" applyAlignment="1" applyBorder="1" applyFill="1" applyFont="1">
      <alignment horizontal="center" readingOrder="0"/>
    </xf>
    <xf borderId="17" fillId="21" fontId="3" numFmtId="0" xfId="0" applyBorder="1" applyFont="1"/>
    <xf borderId="150" fillId="21" fontId="3" numFmtId="0" xfId="0" applyBorder="1" applyFont="1"/>
    <xf borderId="38" fillId="21" fontId="38" numFmtId="0" xfId="0" applyAlignment="1" applyBorder="1" applyFont="1">
      <alignment readingOrder="0" shrinkToFit="0" wrapText="0"/>
    </xf>
    <xf borderId="38" fillId="21" fontId="38" numFmtId="0" xfId="0" applyAlignment="1" applyBorder="1" applyFont="1">
      <alignment shrinkToFit="0" wrapText="0"/>
    </xf>
    <xf borderId="146" fillId="21" fontId="38" numFmtId="0" xfId="0" applyAlignment="1" applyBorder="1" applyFont="1">
      <alignment shrinkToFit="0" wrapText="0"/>
    </xf>
    <xf borderId="152" fillId="9" fontId="10" numFmtId="0" xfId="0" applyAlignment="1" applyBorder="1" applyFont="1">
      <alignment readingOrder="0"/>
    </xf>
    <xf borderId="20" fillId="9" fontId="10" numFmtId="0" xfId="0" applyAlignment="1" applyBorder="1" applyFont="1">
      <alignment readingOrder="0"/>
    </xf>
    <xf borderId="70" fillId="9" fontId="10" numFmtId="0" xfId="0" applyAlignment="1" applyBorder="1" applyFont="1">
      <alignment readingOrder="0"/>
    </xf>
    <xf borderId="153" fillId="9" fontId="10" numFmtId="0" xfId="0" applyAlignment="1" applyBorder="1" applyFont="1">
      <alignment readingOrder="0"/>
    </xf>
    <xf borderId="154" fillId="9" fontId="10" numFmtId="0" xfId="0" applyAlignment="1" applyBorder="1" applyFont="1">
      <alignment readingOrder="0"/>
    </xf>
    <xf borderId="155" fillId="9" fontId="10" numFmtId="0" xfId="0" applyAlignment="1" applyBorder="1" applyFont="1">
      <alignment readingOrder="0"/>
    </xf>
    <xf borderId="152" fillId="10" fontId="10" numFmtId="0" xfId="0" applyAlignment="1" applyBorder="1" applyFont="1">
      <alignment horizontal="center" readingOrder="0"/>
    </xf>
    <xf borderId="20" fillId="10" fontId="10" numFmtId="0" xfId="0" applyAlignment="1" applyBorder="1" applyFont="1">
      <alignment horizontal="center" readingOrder="0"/>
    </xf>
    <xf borderId="70" fillId="10" fontId="10" numFmtId="0" xfId="0" applyAlignment="1" applyBorder="1" applyFont="1">
      <alignment readingOrder="0"/>
    </xf>
    <xf borderId="156" fillId="21" fontId="10" numFmtId="0" xfId="0" applyAlignment="1" applyBorder="1" applyFont="1">
      <alignment horizontal="center" readingOrder="0"/>
    </xf>
    <xf borderId="68" fillId="21" fontId="3" numFmtId="0" xfId="0" applyBorder="1" applyFont="1"/>
    <xf borderId="19" fillId="21" fontId="3" numFmtId="0" xfId="0" applyBorder="1" applyFont="1"/>
    <xf borderId="20" fillId="21" fontId="38" numFmtId="0" xfId="0" applyAlignment="1" applyBorder="1" applyFont="1">
      <alignment shrinkToFit="0" wrapText="0"/>
    </xf>
    <xf borderId="20" fillId="21" fontId="38" numFmtId="0" xfId="0" applyAlignment="1" applyBorder="1" applyFont="1">
      <alignment readingOrder="0" shrinkToFit="0" wrapText="0"/>
    </xf>
    <xf borderId="70" fillId="21" fontId="38" numFmtId="0" xfId="0" applyAlignment="1" applyBorder="1" applyFont="1">
      <alignment shrinkToFit="0" wrapText="0"/>
    </xf>
    <xf borderId="141" fillId="4" fontId="10" numFmtId="0" xfId="0" applyAlignment="1" applyBorder="1" applyFont="1">
      <alignment readingOrder="0"/>
    </xf>
    <xf borderId="142" fillId="4" fontId="10" numFmtId="0" xfId="0" applyAlignment="1" applyBorder="1" applyFont="1">
      <alignment readingOrder="0"/>
    </xf>
    <xf borderId="142" fillId="4" fontId="10" numFmtId="0" xfId="0" applyAlignment="1" applyBorder="1" applyFont="1">
      <alignment horizontal="center" readingOrder="0"/>
    </xf>
    <xf borderId="139" fillId="4" fontId="49" numFmtId="0" xfId="0" applyAlignment="1" applyBorder="1" applyFont="1">
      <alignment readingOrder="0"/>
    </xf>
    <xf borderId="97" fillId="6" fontId="3" numFmtId="0" xfId="0" applyBorder="1" applyFont="1"/>
    <xf borderId="62" fillId="6" fontId="3" numFmtId="0" xfId="0" applyBorder="1" applyFont="1"/>
    <xf borderId="145" fillId="9" fontId="10" numFmtId="0" xfId="0" applyAlignment="1" applyBorder="1" applyFont="1">
      <alignment horizontal="left" readingOrder="0"/>
    </xf>
    <xf borderId="147" fillId="9" fontId="10" numFmtId="0" xfId="0" applyAlignment="1" applyBorder="1" applyFont="1">
      <alignment horizontal="left" readingOrder="0"/>
    </xf>
    <xf borderId="144" fillId="21" fontId="38" numFmtId="168" xfId="0" applyAlignment="1" applyBorder="1" applyFont="1" applyNumberFormat="1">
      <alignment horizontal="left" shrinkToFit="0" wrapText="0"/>
    </xf>
    <xf borderId="145" fillId="21" fontId="38" numFmtId="168" xfId="0" applyAlignment="1" applyBorder="1" applyFont="1" applyNumberFormat="1">
      <alignment horizontal="left" shrinkToFit="0" wrapText="0"/>
    </xf>
    <xf borderId="145" fillId="21" fontId="38" numFmtId="0" xfId="0" applyAlignment="1" applyBorder="1" applyFont="1">
      <alignment horizontal="left" shrinkToFit="0" wrapText="0"/>
    </xf>
    <xf borderId="145" fillId="21" fontId="38" numFmtId="0" xfId="0" applyAlignment="1" applyBorder="1" applyFont="1">
      <alignment horizontal="left" readingOrder="0" shrinkToFit="0" wrapText="0"/>
    </xf>
    <xf borderId="147" fillId="21" fontId="38" numFmtId="0" xfId="0" applyAlignment="1" applyBorder="1" applyFont="1">
      <alignment horizontal="left" shrinkToFit="0" wrapText="0"/>
    </xf>
    <xf borderId="38" fillId="9" fontId="10" numFmtId="0" xfId="0" applyAlignment="1" applyBorder="1" applyFont="1">
      <alignment horizontal="left" readingOrder="0"/>
    </xf>
    <xf borderId="146" fillId="9" fontId="10" numFmtId="0" xfId="0" applyAlignment="1" applyBorder="1" applyFont="1">
      <alignment horizontal="left" readingOrder="0"/>
    </xf>
    <xf borderId="149" fillId="6" fontId="38" numFmtId="168" xfId="0" applyAlignment="1" applyBorder="1" applyFont="1" applyNumberFormat="1">
      <alignment horizontal="left" shrinkToFit="0" wrapText="0"/>
    </xf>
    <xf borderId="38" fillId="6" fontId="38" numFmtId="0" xfId="0" applyAlignment="1" applyBorder="1" applyFont="1">
      <alignment horizontal="left" shrinkToFit="0" wrapText="0"/>
    </xf>
    <xf borderId="38" fillId="6" fontId="38" numFmtId="0" xfId="0" applyAlignment="1" applyBorder="1" applyFont="1">
      <alignment horizontal="left" readingOrder="0" shrinkToFit="0" wrapText="0"/>
    </xf>
    <xf borderId="146" fillId="6" fontId="38" numFmtId="0" xfId="0" applyAlignment="1" applyBorder="1" applyFont="1">
      <alignment horizontal="left" shrinkToFit="0" wrapText="0"/>
    </xf>
    <xf borderId="38" fillId="9" fontId="10" numFmtId="0" xfId="0" applyAlignment="1" applyBorder="1" applyFont="1">
      <alignment horizontal="center" readingOrder="0"/>
    </xf>
    <xf borderId="146" fillId="9" fontId="10" numFmtId="0" xfId="0" applyAlignment="1" applyBorder="1" applyFont="1">
      <alignment horizontal="center" readingOrder="0"/>
    </xf>
    <xf borderId="149" fillId="21" fontId="38" numFmtId="168" xfId="0" applyAlignment="1" applyBorder="1" applyFont="1" applyNumberFormat="1">
      <alignment horizontal="right" shrinkToFit="0" wrapText="0"/>
    </xf>
    <xf borderId="149" fillId="6" fontId="38" numFmtId="168" xfId="0" applyAlignment="1" applyBorder="1" applyFont="1" applyNumberFormat="1">
      <alignment horizontal="right" shrinkToFit="0" wrapText="0"/>
    </xf>
    <xf borderId="20" fillId="9" fontId="10" numFmtId="0" xfId="0" applyAlignment="1" applyBorder="1" applyFont="1">
      <alignment horizontal="center" readingOrder="0"/>
    </xf>
    <xf borderId="70" fillId="9" fontId="10" numFmtId="0" xfId="0" applyAlignment="1" applyBorder="1" applyFont="1">
      <alignment horizontal="center" readingOrder="0"/>
    </xf>
    <xf borderId="152" fillId="21" fontId="38" numFmtId="168" xfId="0" applyAlignment="1" applyBorder="1" applyFont="1" applyNumberFormat="1">
      <alignment horizontal="right" shrinkToFit="0" wrapText="0"/>
    </xf>
  </cellXfs>
  <cellStyles count="1">
    <cellStyle xfId="0" name="Normal" builtinId="0"/>
  </cellStyles>
  <dxfs count="18">
    <dxf>
      <font/>
      <fill>
        <patternFill patternType="none"/>
      </fill>
      <border/>
    </dxf>
    <dxf>
      <font/>
      <fill>
        <patternFill patternType="solid">
          <fgColor rgb="FFFFFFFF"/>
          <bgColor rgb="FFFFFFFF"/>
        </patternFill>
      </fill>
      <border/>
    </dxf>
    <dxf>
      <font/>
      <fill>
        <patternFill patternType="solid">
          <fgColor rgb="FFE0F7FA"/>
          <bgColor rgb="FFE0F7FA"/>
        </patternFill>
      </fill>
      <border/>
    </dxf>
    <dxf>
      <font>
        <b/>
        <color rgb="FFFFFFFF"/>
      </font>
      <fill>
        <patternFill patternType="solid">
          <fgColor rgb="FFCC0000"/>
          <bgColor rgb="FFCC0000"/>
        </patternFill>
      </fill>
      <border/>
    </dxf>
    <dxf>
      <font>
        <b/>
        <color rgb="FFFFFFFF"/>
      </font>
      <fill>
        <patternFill patternType="solid">
          <fgColor rgb="FF1155CC"/>
          <bgColor rgb="FF1155CC"/>
        </patternFill>
      </fill>
      <border/>
    </dxf>
    <dxf>
      <font>
        <b/>
        <color rgb="FFFFFFFF"/>
      </font>
      <fill>
        <patternFill patternType="solid">
          <fgColor rgb="FF38761D"/>
          <bgColor rgb="FF38761D"/>
        </patternFill>
      </fill>
      <border/>
    </dxf>
    <dxf>
      <font>
        <color rgb="FFFFFFFF"/>
      </font>
      <fill>
        <patternFill patternType="solid">
          <fgColor rgb="FF00FF00"/>
          <bgColor rgb="FF00FF00"/>
        </patternFill>
      </fill>
      <border/>
    </dxf>
    <dxf>
      <font>
        <b/>
        <color rgb="FFFFFFFF"/>
      </font>
      <fill>
        <patternFill patternType="solid">
          <fgColor rgb="FFFF9900"/>
          <bgColor rgb="FFFF9900"/>
        </patternFill>
      </fill>
      <border/>
    </dxf>
    <dxf>
      <font>
        <b/>
        <color rgb="FFFFFFFF"/>
      </font>
      <fill>
        <patternFill patternType="solid">
          <fgColor rgb="FFFF00FF"/>
          <bgColor rgb="FFFF00FF"/>
        </patternFill>
      </fill>
      <border/>
    </dxf>
    <dxf>
      <font>
        <b/>
        <color rgb="FF000000"/>
      </font>
      <fill>
        <patternFill patternType="solid">
          <fgColor rgb="FFFFFF00"/>
          <bgColor rgb="FFFFFF00"/>
        </patternFill>
      </fill>
      <border/>
    </dxf>
    <dxf>
      <font>
        <b/>
        <color theme="0"/>
      </font>
      <fill>
        <patternFill patternType="solid">
          <fgColor rgb="FFFF3D7E"/>
          <bgColor rgb="FFFF3D7E"/>
        </patternFill>
      </fill>
      <border/>
    </dxf>
    <dxf>
      <font>
        <b/>
        <color theme="0"/>
      </font>
      <fill>
        <patternFill patternType="solid">
          <fgColor rgb="FFCC0000"/>
          <bgColor rgb="FFCC0000"/>
        </patternFill>
      </fill>
      <border/>
    </dxf>
    <dxf>
      <font/>
      <fill>
        <patternFill patternType="solid">
          <fgColor rgb="FFF3F3F3"/>
          <bgColor rgb="FFF3F3F3"/>
        </patternFill>
      </fill>
      <border/>
    </dxf>
    <dxf>
      <font/>
      <fill>
        <patternFill patternType="solid">
          <fgColor rgb="FFF8F9FA"/>
          <bgColor rgb="FFF8F9FA"/>
        </patternFill>
      </fill>
      <border/>
    </dxf>
    <dxf>
      <font>
        <color rgb="FFFFFFFF"/>
      </font>
      <fill>
        <patternFill patternType="solid">
          <fgColor rgb="FFFF3D7E"/>
          <bgColor rgb="FFFF3D7E"/>
        </patternFill>
      </fill>
      <border/>
    </dxf>
    <dxf>
      <font>
        <b/>
        <color rgb="FFFFFFFF"/>
      </font>
      <fill>
        <patternFill patternType="solid">
          <fgColor rgb="FFFF3D7E"/>
          <bgColor rgb="FFFF3D7E"/>
        </patternFill>
      </fill>
      <border/>
    </dxf>
    <dxf>
      <font/>
      <fill>
        <patternFill patternType="solid">
          <fgColor rgb="FFB7E1CD"/>
          <bgColor rgb="FFB7E1CD"/>
        </patternFill>
      </fill>
      <border/>
    </dxf>
    <dxf>
      <font/>
      <fill>
        <patternFill patternType="solid">
          <fgColor rgb="FF999999"/>
          <bgColor rgb="FF999999"/>
        </patternFill>
      </fill>
      <border/>
    </dxf>
  </dxfs>
  <tableStyles count="5">
    <tableStyle count="2" pivot="0" name="計測入力シート（ここのみ編集可）-style">
      <tableStyleElement dxfId="1" type="firstRowStripe"/>
      <tableStyleElement dxfId="2" type="secondRowStripe"/>
    </tableStyle>
    <tableStyle count="2" pivot="0" name="計測入力シート（ここのみ編集可）-style 2">
      <tableStyleElement dxfId="1" type="firstRowStripe"/>
      <tableStyleElement dxfId="2" type="secondRowStripe"/>
    </tableStyle>
    <tableStyle count="2" pivot="0" name="全体リザルト-style">
      <tableStyleElement dxfId="1" type="firstRowStripe"/>
      <tableStyleElement dxfId="12" type="secondRowStripe"/>
    </tableStyle>
    <tableStyle count="2" pivot="0" name="タイム記録表-style">
      <tableStyleElement dxfId="1" type="firstRowStripe"/>
      <tableStyleElement dxfId="12" type="secondRowStripe"/>
    </tableStyle>
    <tableStyle count="2" pivot="0" name="DB(読み込みシート※編集厳禁)-style">
      <tableStyleElement dxfId="1" type="firstRowStripe"/>
      <tableStyleElement dxfId="13" type="secondRowStripe"/>
    </tableStyle>
  </tableStyles>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ables/table1.xml><?xml version="1.0" encoding="utf-8"?>
<table xmlns="http://schemas.openxmlformats.org/spreadsheetml/2006/main" headerRowCount="0" ref="L4:N4" displayName="Table_1" name="Table_1" id="1">
  <tableColumns count="3">
    <tableColumn name="Column1" id="1"/>
    <tableColumn name="Column2" id="2"/>
    <tableColumn name="Column3" id="3"/>
  </tableColumns>
  <tableStyleInfo name="計測入力シート（ここのみ編集可）-style" showColumnStripes="0" showFirstColumn="1" showLastColumn="1" showRowStripes="1"/>
</table>
</file>

<file path=xl/tables/table2.xml><?xml version="1.0" encoding="utf-8"?>
<table xmlns="http://schemas.openxmlformats.org/spreadsheetml/2006/main" headerRowCount="0" ref="B17:Z116" displayName="Table_2" name="Table_2" id="2">
  <tableColumns count="25">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s>
  <tableStyleInfo name="計測入力シート（ここのみ編集可）-style 2" showColumnStripes="0" showFirstColumn="1" showLastColumn="1" showRowStripes="1"/>
</table>
</file>

<file path=xl/tables/table3.xml><?xml version="1.0" encoding="utf-8"?>
<table xmlns="http://schemas.openxmlformats.org/spreadsheetml/2006/main" headerRowCount="0" ref="D5:Q58" displayName="Table_3" name="Table_3" id="3">
  <tableColumns count="14">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s>
  <tableStyleInfo name="全体リザルト-style" showColumnStripes="0" showFirstColumn="1" showLastColumn="1" showRowStripes="1"/>
</table>
</file>

<file path=xl/tables/table4.xml><?xml version="1.0" encoding="utf-8"?>
<table xmlns="http://schemas.openxmlformats.org/spreadsheetml/2006/main" headerRowCount="0" ref="D5:Q60" displayName="Table_4" name="Table_4" id="4">
  <tableColumns count="14">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s>
  <tableStyleInfo name="タイム記録表-style" showColumnStripes="0" showFirstColumn="1" showLastColumn="1" showRowStripes="1"/>
</table>
</file>

<file path=xl/tables/table5.xml><?xml version="1.0" encoding="utf-8"?>
<table xmlns="http://schemas.openxmlformats.org/spreadsheetml/2006/main" headerRowCount="0" ref="I3:Y102" displayName="Table_5" name="Table_5" id="5">
  <tableColumns count="17">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s>
  <tableStyleInfo name="DB(読み込みシート※編集厳禁)-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4" Type="http://schemas.openxmlformats.org/officeDocument/2006/relationships/table" Target="../tables/table1.xml"/><Relationship Id="rId5"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hyperlink" Target="https://docs.google.com/spreadsheets/d/1APhJfj6MAI2cXBvA8l5lKwKjOVEHmbiLoW98OqxDnJM/edit?gid=1462815136" TargetMode="External"/><Relationship Id="rId2"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3"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3"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7.5"/>
    <col customWidth="1" min="2" max="2" width="3.88"/>
    <col customWidth="1" min="3" max="3" width="5.75"/>
    <col customWidth="1" min="4" max="4" width="17.0"/>
    <col customWidth="1" min="5" max="5" width="15.13"/>
    <col customWidth="1" hidden="1" min="6" max="6" width="6.88"/>
    <col customWidth="1" hidden="1" min="7" max="8" width="8.13"/>
    <col customWidth="1" min="9" max="9" width="10.63"/>
    <col customWidth="1" min="10" max="10" width="3.88"/>
    <col customWidth="1" min="11" max="11" width="9.5"/>
    <col customWidth="1" min="12" max="12" width="3.88"/>
    <col customWidth="1" min="13" max="13" width="4.5"/>
    <col customWidth="1" min="14" max="14" width="5.75"/>
    <col customWidth="1" hidden="1" min="15" max="16" width="8.75"/>
    <col customWidth="1" min="17" max="17" width="3.88"/>
    <col customWidth="1" min="18" max="18" width="5.75"/>
    <col customWidth="1" min="19" max="19" width="17.0"/>
    <col customWidth="1" min="20" max="20" width="15.13"/>
    <col customWidth="1" min="21" max="21" width="10.25"/>
    <col customWidth="1" min="22" max="22" width="3.88"/>
    <col customWidth="1" min="23" max="23" width="9.5"/>
    <col customWidth="1" min="24" max="24" width="3.88"/>
    <col customWidth="1" min="25" max="25" width="4.5"/>
    <col customWidth="1" min="26" max="26" width="5.75"/>
    <col customWidth="1" min="27" max="27" width="3.63"/>
    <col customWidth="1" min="28" max="28" width="5.5"/>
    <col customWidth="1" min="29" max="34" width="7.75"/>
    <col customWidth="1" min="35" max="37" width="10.13"/>
    <col customWidth="1" min="38" max="55" width="7.75"/>
    <col customWidth="1" min="56" max="56" width="9.38"/>
    <col customWidth="1" min="57" max="57" width="11.38"/>
    <col customWidth="1" min="58" max="58" width="7.75"/>
    <col customWidth="1" min="59" max="59" width="7.0"/>
    <col customWidth="1" min="61" max="61" width="9.88"/>
    <col customWidth="1" min="62" max="62" width="18.38"/>
    <col customWidth="1" min="63" max="63" width="14.5"/>
  </cols>
  <sheetData>
    <row r="1">
      <c r="A1" s="1"/>
      <c r="B1" s="2" t="s">
        <v>0</v>
      </c>
      <c r="C1" s="3"/>
      <c r="D1" s="3"/>
      <c r="E1" s="3"/>
      <c r="F1" s="3"/>
      <c r="G1" s="3"/>
      <c r="H1" s="3"/>
      <c r="I1" s="3"/>
      <c r="J1" s="3"/>
      <c r="K1" s="3"/>
      <c r="L1" s="3"/>
      <c r="M1" s="3"/>
      <c r="N1" s="4"/>
      <c r="O1" s="5"/>
      <c r="P1" s="5"/>
      <c r="Q1" s="5"/>
      <c r="R1" s="5"/>
      <c r="S1" s="5"/>
      <c r="T1" s="5"/>
      <c r="U1" s="5"/>
      <c r="V1" s="5"/>
      <c r="W1" s="5"/>
      <c r="X1" s="5"/>
      <c r="Y1" s="5"/>
      <c r="Z1" s="5"/>
      <c r="AA1" s="1"/>
      <c r="AB1" s="6"/>
      <c r="AC1" s="6"/>
      <c r="AD1" s="6"/>
      <c r="AE1" s="6"/>
      <c r="AF1" s="6"/>
      <c r="AG1" s="6"/>
      <c r="AH1" s="6"/>
      <c r="AI1" s="6"/>
      <c r="AJ1" s="6"/>
      <c r="AK1" s="6"/>
      <c r="AL1" s="6"/>
      <c r="AM1" s="6"/>
      <c r="AN1" s="6"/>
      <c r="AO1" s="6"/>
      <c r="AP1" s="6"/>
      <c r="AQ1" s="7"/>
      <c r="AR1" s="5"/>
      <c r="AS1" s="5"/>
      <c r="AT1" s="1"/>
      <c r="AU1" s="5"/>
      <c r="AV1" s="5"/>
      <c r="AW1" s="5"/>
      <c r="AX1" s="5"/>
      <c r="AY1" s="5"/>
      <c r="AZ1" s="5"/>
      <c r="BA1" s="5"/>
      <c r="BB1" s="5"/>
      <c r="BC1" s="5"/>
      <c r="BD1" s="5"/>
      <c r="BE1" s="1"/>
      <c r="BF1" s="1"/>
      <c r="BG1" s="1"/>
      <c r="BH1" s="1"/>
      <c r="BI1" s="1"/>
      <c r="BJ1" s="1"/>
      <c r="BK1" s="1"/>
      <c r="BL1" s="1"/>
      <c r="BM1" s="1"/>
      <c r="BN1" s="1"/>
      <c r="BO1" s="1"/>
      <c r="BP1" s="1"/>
      <c r="BQ1" s="1"/>
      <c r="BR1" s="1"/>
      <c r="BS1" s="1"/>
      <c r="BT1" s="1"/>
      <c r="BU1" s="1"/>
      <c r="BV1" s="1"/>
      <c r="BW1" s="1"/>
      <c r="BX1" s="1"/>
    </row>
    <row r="2">
      <c r="A2" s="1"/>
      <c r="B2" s="8" t="s">
        <v>1</v>
      </c>
      <c r="C2" s="9" t="s">
        <v>2</v>
      </c>
      <c r="D2" s="10" t="s">
        <v>3</v>
      </c>
      <c r="E2" s="11" t="s">
        <v>4</v>
      </c>
      <c r="F2" s="5"/>
      <c r="G2" s="12"/>
      <c r="H2" s="13" t="s">
        <v>5</v>
      </c>
      <c r="I2" s="14"/>
      <c r="J2" s="14"/>
      <c r="K2" s="14"/>
      <c r="L2" s="14"/>
      <c r="M2" s="14"/>
      <c r="N2" s="15"/>
      <c r="O2" s="5"/>
      <c r="P2" s="5"/>
      <c r="Q2" s="5"/>
      <c r="R2" s="5"/>
      <c r="S2" s="5"/>
      <c r="T2" s="5"/>
      <c r="U2" s="5"/>
      <c r="V2" s="5"/>
      <c r="W2" s="5"/>
      <c r="X2" s="5"/>
      <c r="Y2" s="5"/>
      <c r="Z2" s="5"/>
      <c r="AA2" s="1"/>
      <c r="AB2" s="6"/>
      <c r="AC2" s="6"/>
      <c r="AD2" s="6"/>
      <c r="AE2" s="6"/>
      <c r="AF2" s="6"/>
      <c r="AG2" s="6"/>
      <c r="AH2" s="6"/>
      <c r="AI2" s="6"/>
      <c r="AJ2" s="6"/>
      <c r="AK2" s="6"/>
      <c r="AL2" s="6"/>
      <c r="AM2" s="6"/>
      <c r="AN2" s="6"/>
      <c r="AO2" s="6"/>
      <c r="AP2" s="6"/>
      <c r="AQ2" s="7"/>
      <c r="AR2" s="5"/>
      <c r="AS2" s="5"/>
      <c r="AT2" s="1"/>
      <c r="AU2" s="5"/>
      <c r="AV2" s="5"/>
      <c r="AW2" s="5"/>
      <c r="AX2" s="5"/>
      <c r="AY2" s="5"/>
      <c r="AZ2" s="5"/>
      <c r="BA2" s="5"/>
      <c r="BB2" s="5"/>
      <c r="BC2" s="5" t="s">
        <v>6</v>
      </c>
      <c r="BD2" s="5"/>
      <c r="BE2" s="1"/>
      <c r="BF2" s="1"/>
      <c r="BG2" s="1"/>
      <c r="BH2" s="1"/>
      <c r="BI2" s="1"/>
      <c r="BJ2" s="1"/>
      <c r="BK2" s="1"/>
      <c r="BL2" s="1"/>
      <c r="BM2" s="1"/>
      <c r="BN2" s="1"/>
      <c r="BO2" s="1"/>
      <c r="BP2" s="1"/>
      <c r="BQ2" s="1"/>
      <c r="BR2" s="1"/>
      <c r="BS2" s="1"/>
      <c r="BT2" s="1"/>
      <c r="BU2" s="1"/>
      <c r="BV2" s="1"/>
      <c r="BW2" s="1"/>
      <c r="BX2" s="1"/>
    </row>
    <row r="3">
      <c r="A3" s="1"/>
      <c r="B3" s="16"/>
      <c r="C3" s="17"/>
      <c r="D3" s="18"/>
      <c r="E3" s="19"/>
      <c r="F3" s="20"/>
      <c r="G3" s="21"/>
      <c r="H3" s="22" t="s">
        <v>7</v>
      </c>
      <c r="I3" s="23" t="s">
        <v>7</v>
      </c>
      <c r="J3" s="24" t="s">
        <v>8</v>
      </c>
      <c r="K3" s="24" t="s">
        <v>9</v>
      </c>
      <c r="L3" s="25" t="s">
        <v>10</v>
      </c>
      <c r="M3" s="26" t="s">
        <v>11</v>
      </c>
      <c r="N3" s="27" t="s">
        <v>12</v>
      </c>
      <c r="O3" s="5"/>
      <c r="P3" s="5"/>
      <c r="Q3" s="5"/>
      <c r="R3" s="5"/>
      <c r="S3" s="5"/>
      <c r="T3" s="5"/>
      <c r="U3" s="5"/>
      <c r="V3" s="5"/>
      <c r="W3" s="5"/>
      <c r="X3" s="5"/>
      <c r="Y3" s="5"/>
      <c r="Z3" s="5"/>
      <c r="AA3" s="1"/>
      <c r="AB3" s="6"/>
      <c r="AC3" s="6"/>
      <c r="AD3" s="6"/>
      <c r="AE3" s="6"/>
      <c r="AF3" s="6"/>
      <c r="AG3" s="6"/>
      <c r="AH3" s="6"/>
      <c r="AI3" s="6"/>
      <c r="AJ3" s="6"/>
      <c r="AK3" s="6"/>
      <c r="AL3" s="6"/>
      <c r="AM3" s="6"/>
      <c r="AN3" s="6"/>
      <c r="AO3" s="6"/>
      <c r="AP3" s="6"/>
      <c r="AQ3" s="7"/>
      <c r="AR3" s="5"/>
      <c r="AS3" s="5"/>
      <c r="AT3" s="1"/>
      <c r="AU3" s="5"/>
      <c r="AV3" s="5"/>
      <c r="AW3" s="5"/>
      <c r="AX3" s="5"/>
      <c r="AY3" s="5"/>
      <c r="AZ3" s="5"/>
      <c r="BA3" s="5"/>
      <c r="BB3" s="5"/>
      <c r="BD3" s="5"/>
      <c r="BE3" s="1"/>
      <c r="BF3" s="1"/>
      <c r="BG3" s="1"/>
      <c r="BH3" s="1"/>
      <c r="BI3" s="1"/>
      <c r="BJ3" s="1"/>
      <c r="BK3" s="1"/>
      <c r="BL3" s="1"/>
      <c r="BM3" s="1"/>
      <c r="BN3" s="1"/>
      <c r="BO3" s="1"/>
      <c r="BP3" s="1"/>
      <c r="BQ3" s="1"/>
      <c r="BR3" s="1"/>
      <c r="BS3" s="1"/>
      <c r="BT3" s="1"/>
      <c r="BU3" s="1"/>
      <c r="BV3" s="1"/>
      <c r="BW3" s="1"/>
      <c r="BX3" s="1"/>
    </row>
    <row r="4">
      <c r="A4" s="1"/>
      <c r="B4" s="28"/>
      <c r="C4" s="29"/>
      <c r="D4" s="30" t="s">
        <v>13</v>
      </c>
      <c r="E4" s="31" t="s">
        <v>14</v>
      </c>
      <c r="F4" s="32"/>
      <c r="G4" s="32"/>
      <c r="H4" s="33" t="str">
        <f>IF(K4="MC","9:99:999",IF(IF(M4+J4&gt;59,L4+1,L4)&lt;1,0,IF(M4+J4&gt;59,L4+1,L4))&amp;":"&amp;IF(IF(M4+J4&gt;59,M4+J4-60,M4+J4)&lt;10,0&amp;IF(M4+J4&gt;59,M4+J4-60,M4+J4),IF(M4+J4&gt;59,60-M4+J4,M4+J4))&amp;":"&amp;IF(N4="","000",IF(N4&lt;10,"00"&amp;N4,IF(N4&lt;100,"0"&amp;N4,N4))))</f>
        <v>1:37:606</v>
      </c>
      <c r="I4" s="34">
        <v>137606.0</v>
      </c>
      <c r="J4" s="35"/>
      <c r="K4" s="35" t="s">
        <v>15</v>
      </c>
      <c r="L4" s="36" t="str">
        <f>MID(I4,1,1)</f>
        <v>1</v>
      </c>
      <c r="M4" s="37" t="str">
        <f>IF(LENB(I4)=1,0,IF(LENB(I4)=2,MID(I4,2,1)*10,MID(I4,2,2)))</f>
        <v>37</v>
      </c>
      <c r="N4" s="38" t="str">
        <f>IF(LENB(I4)=4,MID(I4,4,1)*100,IF(LENB(I4)=5,MID(I4,4,2)*10,IF(LENB(I4)=6,MID(I4,4,3),MID(I4,4,3))))</f>
        <v>606</v>
      </c>
      <c r="O4" s="5"/>
      <c r="P4" s="5"/>
      <c r="Q4" s="5"/>
      <c r="R4" s="5"/>
      <c r="S4" s="5"/>
      <c r="T4" s="5"/>
      <c r="U4" s="5"/>
      <c r="V4" s="5"/>
      <c r="W4" s="5"/>
      <c r="X4" s="5"/>
      <c r="Y4" s="5"/>
      <c r="Z4" s="5"/>
      <c r="AA4" s="1"/>
      <c r="AB4" s="6"/>
      <c r="AC4" s="6"/>
      <c r="AD4" s="6"/>
      <c r="AE4" s="6"/>
      <c r="AF4" s="6"/>
      <c r="AG4" s="6"/>
      <c r="AH4" s="6"/>
      <c r="AI4" s="6"/>
      <c r="AJ4" s="6"/>
      <c r="AK4" s="6"/>
      <c r="AL4" s="6"/>
      <c r="AM4" s="6"/>
      <c r="AN4" s="6"/>
      <c r="AO4" s="6"/>
      <c r="AP4" s="6"/>
      <c r="AQ4" s="7"/>
      <c r="AR4" s="39"/>
      <c r="AS4" s="39"/>
      <c r="AT4" s="1"/>
      <c r="AU4" s="39"/>
      <c r="AV4" s="39"/>
      <c r="AW4" s="39"/>
      <c r="AX4" s="39"/>
      <c r="AY4" s="39"/>
      <c r="AZ4" s="39"/>
      <c r="BA4" s="39"/>
      <c r="BB4" s="39"/>
      <c r="BC4" s="40">
        <f>IF(K4="MC",639999,(L4*60*1000)+(M4*1000)+N4+(J4*1000))</f>
        <v>97606</v>
      </c>
      <c r="BD4" s="5"/>
      <c r="BE4" s="1"/>
      <c r="BF4" s="1"/>
      <c r="BG4" s="1"/>
      <c r="BH4" s="1"/>
      <c r="BI4" s="1"/>
      <c r="BJ4" s="1"/>
      <c r="BK4" s="1"/>
      <c r="BL4" s="1"/>
      <c r="BM4" s="1"/>
      <c r="BN4" s="1"/>
      <c r="BO4" s="1"/>
      <c r="BP4" s="1"/>
      <c r="BQ4" s="1"/>
      <c r="BR4" s="1"/>
      <c r="BS4" s="1"/>
      <c r="BT4" s="1"/>
      <c r="BU4" s="1"/>
      <c r="BV4" s="1"/>
      <c r="BW4" s="1"/>
      <c r="BX4" s="1"/>
    </row>
    <row r="5">
      <c r="A5" s="1"/>
      <c r="B5" s="39"/>
      <c r="C5" s="39"/>
      <c r="D5" s="1"/>
      <c r="E5" s="12"/>
      <c r="F5" s="12"/>
      <c r="G5" s="12"/>
      <c r="H5" s="12"/>
      <c r="I5" s="12"/>
      <c r="J5" s="12"/>
      <c r="K5" s="12"/>
      <c r="L5" s="12"/>
      <c r="M5" s="12"/>
      <c r="N5" s="12"/>
      <c r="O5" s="12"/>
      <c r="P5" s="12"/>
      <c r="Q5" s="12"/>
      <c r="R5" s="12"/>
      <c r="S5" s="12"/>
      <c r="T5" s="12"/>
      <c r="U5" s="12"/>
      <c r="V5" s="12"/>
      <c r="W5" s="12"/>
      <c r="X5" s="12"/>
      <c r="Y5" s="12"/>
      <c r="Z5" s="12"/>
      <c r="AA5" s="1"/>
      <c r="AB5" s="6"/>
      <c r="AC5" s="6"/>
      <c r="AD5" s="6"/>
      <c r="AE5" s="6"/>
      <c r="AF5" s="6"/>
      <c r="AI5" s="6"/>
      <c r="AJ5" s="6"/>
      <c r="AK5" s="6"/>
      <c r="AL5" s="6"/>
      <c r="AM5" s="6"/>
      <c r="AN5" s="6"/>
      <c r="AO5" s="6"/>
      <c r="AP5" s="6"/>
      <c r="AQ5" s="7"/>
      <c r="AR5" s="5"/>
      <c r="AS5" s="5"/>
      <c r="AT5" s="1"/>
      <c r="AU5" s="5"/>
      <c r="AV5" s="5"/>
      <c r="AW5" s="5"/>
      <c r="AX5" s="5"/>
      <c r="AY5" s="5"/>
      <c r="AZ5" s="5"/>
      <c r="BA5" s="5"/>
      <c r="BB5" s="5"/>
      <c r="BC5" s="5"/>
      <c r="BD5" s="5"/>
      <c r="BE5" s="5"/>
      <c r="BF5" s="1"/>
      <c r="BG5" s="1"/>
      <c r="BH5" s="1"/>
      <c r="BI5" s="1"/>
      <c r="BJ5" s="1"/>
      <c r="BK5" s="1"/>
      <c r="BL5" s="1"/>
      <c r="BM5" s="1"/>
      <c r="BN5" s="1"/>
      <c r="BO5" s="1"/>
      <c r="BP5" s="1"/>
      <c r="BQ5" s="1"/>
      <c r="BR5" s="1"/>
      <c r="BS5" s="1"/>
      <c r="BT5" s="1"/>
      <c r="BU5" s="1"/>
      <c r="BV5" s="1"/>
      <c r="BW5" s="1"/>
      <c r="BX5" s="1"/>
    </row>
    <row r="6">
      <c r="A6" s="1"/>
      <c r="B6" s="2" t="s">
        <v>16</v>
      </c>
      <c r="C6" s="3"/>
      <c r="D6" s="3"/>
      <c r="E6" s="3"/>
      <c r="F6" s="3"/>
      <c r="G6" s="3"/>
      <c r="H6" s="3"/>
      <c r="I6" s="3"/>
      <c r="J6" s="3"/>
      <c r="K6" s="3"/>
      <c r="L6" s="3"/>
      <c r="M6" s="3"/>
      <c r="N6" s="3"/>
      <c r="O6" s="3"/>
      <c r="P6" s="3"/>
      <c r="Q6" s="3"/>
      <c r="R6" s="3"/>
      <c r="S6" s="3"/>
      <c r="T6" s="3"/>
      <c r="U6" s="3"/>
      <c r="V6" s="3"/>
      <c r="W6" s="3"/>
      <c r="X6" s="3"/>
      <c r="Y6" s="3"/>
      <c r="Z6" s="4"/>
      <c r="AA6" s="1"/>
      <c r="AB6" s="6"/>
      <c r="AC6" s="6"/>
      <c r="AD6" s="6"/>
      <c r="AE6" s="6"/>
      <c r="AF6" s="6"/>
      <c r="AI6" s="6"/>
      <c r="AJ6" s="6"/>
      <c r="AK6" s="6"/>
      <c r="AL6" s="41" t="s">
        <v>1</v>
      </c>
      <c r="AM6" s="41" t="s">
        <v>17</v>
      </c>
      <c r="AN6" s="41" t="s">
        <v>18</v>
      </c>
      <c r="AO6" s="41" t="s">
        <v>7</v>
      </c>
      <c r="AP6" s="6"/>
      <c r="AQ6" s="7"/>
      <c r="AR6" s="5"/>
      <c r="AS6" s="5"/>
      <c r="AT6" s="1"/>
      <c r="AU6" s="5"/>
      <c r="AV6" s="5"/>
      <c r="AW6" s="5"/>
      <c r="AX6" s="5"/>
      <c r="AY6" s="5"/>
      <c r="AZ6" s="5"/>
      <c r="BA6" s="5"/>
      <c r="BB6" s="5"/>
      <c r="BC6" s="5"/>
      <c r="BD6" s="5"/>
      <c r="BE6" s="5"/>
      <c r="BF6" s="1"/>
      <c r="BG6" s="1"/>
      <c r="BH6" s="1"/>
      <c r="BI6" s="1"/>
      <c r="BJ6" s="1"/>
      <c r="BK6" s="1"/>
      <c r="BL6" s="1"/>
      <c r="BM6" s="1"/>
      <c r="BN6" s="1"/>
      <c r="BO6" s="1"/>
      <c r="BP6" s="1"/>
      <c r="BQ6" s="1"/>
      <c r="BR6" s="1"/>
      <c r="BS6" s="1"/>
      <c r="BT6" s="1"/>
      <c r="BU6" s="1"/>
      <c r="BV6" s="1"/>
      <c r="BW6" s="1"/>
      <c r="BX6" s="1"/>
    </row>
    <row r="7">
      <c r="A7" s="1"/>
      <c r="B7" s="42" t="s">
        <v>1</v>
      </c>
      <c r="C7" s="43" t="s">
        <v>2</v>
      </c>
      <c r="D7" s="44" t="s">
        <v>17</v>
      </c>
      <c r="E7" s="45" t="s">
        <v>18</v>
      </c>
      <c r="F7" s="46" t="s">
        <v>19</v>
      </c>
      <c r="G7" s="12"/>
      <c r="H7" s="47" t="s">
        <v>20</v>
      </c>
      <c r="I7" s="14"/>
      <c r="J7" s="14"/>
      <c r="K7" s="14"/>
      <c r="L7" s="14"/>
      <c r="M7" s="14"/>
      <c r="N7" s="15"/>
      <c r="O7" s="12"/>
      <c r="P7" s="12" t="s">
        <v>21</v>
      </c>
      <c r="Q7" s="48" t="s">
        <v>1</v>
      </c>
      <c r="R7" s="49" t="s">
        <v>2</v>
      </c>
      <c r="S7" s="50" t="s">
        <v>17</v>
      </c>
      <c r="T7" s="51" t="s">
        <v>18</v>
      </c>
      <c r="U7" s="47" t="s">
        <v>21</v>
      </c>
      <c r="V7" s="14"/>
      <c r="W7" s="14"/>
      <c r="X7" s="14"/>
      <c r="Y7" s="14"/>
      <c r="Z7" s="15"/>
      <c r="AA7" s="1"/>
      <c r="AB7" s="6"/>
      <c r="AC7" s="6"/>
      <c r="AD7" s="6"/>
      <c r="AE7" s="6"/>
      <c r="AF7" s="6"/>
      <c r="AG7" s="6"/>
      <c r="AH7" s="6"/>
      <c r="AI7" s="41"/>
      <c r="AJ7" s="41"/>
      <c r="AK7" s="41" t="s">
        <v>22</v>
      </c>
      <c r="AL7" s="52" t="str">
        <f t="array" ref="AL7">IFERROR(INDEX($B$17:$B$116,MATCH(1,$AK$17:$AK$116,0)),"")</f>
        <v>A</v>
      </c>
      <c r="AM7" s="52" t="str">
        <f t="array" ref="AM7">IFERROR(INDEX($D$17:$D$116,MATCH(1,$AK$17:$AK$116,0)),"")</f>
        <v>OKOK</v>
      </c>
      <c r="AN7" s="52" t="str">
        <f t="array" ref="AN7">IFERROR(INDEX($E$17:$E$116,MATCH(1,$AK$17:$AK$116,0)),"")</f>
        <v>NSR250</v>
      </c>
      <c r="AO7" s="52" t="str">
        <f t="array" ref="AO7">IFERROR(INDEX($BC$17:$BC$116,MATCH(1,$AK$17:$AK$116,0)),"")</f>
        <v>1:37:606</v>
      </c>
      <c r="AP7" s="6"/>
      <c r="AQ7" s="7"/>
      <c r="AR7" s="5"/>
      <c r="AS7" s="5"/>
      <c r="AT7" s="53" t="s">
        <v>23</v>
      </c>
      <c r="AU7" s="5"/>
      <c r="AV7" s="5"/>
      <c r="AW7" s="5"/>
      <c r="AX7" s="5"/>
      <c r="AY7" s="5"/>
      <c r="AZ7" s="5"/>
      <c r="BA7" s="5"/>
      <c r="BB7" s="5"/>
      <c r="BC7" s="5" t="s">
        <v>24</v>
      </c>
      <c r="BD7" s="5" t="s">
        <v>25</v>
      </c>
      <c r="BE7" s="5" t="s">
        <v>26</v>
      </c>
      <c r="BF7" s="53" t="s">
        <v>27</v>
      </c>
      <c r="BG7" s="53" t="s">
        <v>28</v>
      </c>
      <c r="BH7" s="53" t="s">
        <v>29</v>
      </c>
      <c r="BI7" s="53" t="s">
        <v>30</v>
      </c>
      <c r="BJ7" s="53"/>
      <c r="BK7" s="53"/>
      <c r="BL7" s="53" t="s">
        <v>31</v>
      </c>
      <c r="BM7" s="53"/>
      <c r="BN7" s="1"/>
      <c r="BO7" s="1"/>
      <c r="BP7" s="1"/>
      <c r="BQ7" s="1"/>
      <c r="BR7" s="1"/>
      <c r="BS7" s="1"/>
      <c r="BT7" s="1"/>
      <c r="BU7" s="1"/>
      <c r="BV7" s="1"/>
      <c r="BW7" s="1"/>
      <c r="BX7" s="1"/>
    </row>
    <row r="8">
      <c r="A8" s="1"/>
      <c r="B8" s="16"/>
      <c r="C8" s="17"/>
      <c r="D8" s="18"/>
      <c r="E8" s="19"/>
      <c r="F8" s="54"/>
      <c r="G8" s="21"/>
      <c r="H8" s="22" t="s">
        <v>7</v>
      </c>
      <c r="I8" s="23" t="s">
        <v>7</v>
      </c>
      <c r="J8" s="24" t="s">
        <v>8</v>
      </c>
      <c r="K8" s="24" t="s">
        <v>9</v>
      </c>
      <c r="L8" s="55" t="s">
        <v>10</v>
      </c>
      <c r="M8" s="55" t="s">
        <v>11</v>
      </c>
      <c r="N8" s="56" t="s">
        <v>12</v>
      </c>
      <c r="O8" s="57"/>
      <c r="P8" s="58" t="s">
        <v>7</v>
      </c>
      <c r="Q8" s="16"/>
      <c r="R8" s="17"/>
      <c r="S8" s="18"/>
      <c r="T8" s="59"/>
      <c r="U8" s="60" t="s">
        <v>7</v>
      </c>
      <c r="V8" s="24" t="s">
        <v>8</v>
      </c>
      <c r="W8" s="24" t="s">
        <v>9</v>
      </c>
      <c r="X8" s="55" t="s">
        <v>10</v>
      </c>
      <c r="Y8" s="55" t="s">
        <v>11</v>
      </c>
      <c r="Z8" s="56" t="s">
        <v>12</v>
      </c>
      <c r="AA8" s="1"/>
      <c r="AB8" s="6"/>
      <c r="AC8" s="6"/>
      <c r="AD8" s="6"/>
      <c r="AE8" s="6"/>
      <c r="AF8" s="6"/>
      <c r="AG8" s="41" t="s">
        <v>32</v>
      </c>
      <c r="AI8" s="41" t="s">
        <v>33</v>
      </c>
      <c r="AJ8" s="41">
        <v>1.0</v>
      </c>
      <c r="AK8" s="41" t="str">
        <f t="shared" ref="AK8:AK13" si="2">$AI$9&amp;"-"&amp;AJ8</f>
        <v>A-1</v>
      </c>
      <c r="AL8" s="52" t="str">
        <f t="shared" ref="AL8:AL13" si="3">IFERROR(INDEX($B$17:$B$116,MATCH($AK8,$AI$17:$AI$116,0)),"")</f>
        <v>A</v>
      </c>
      <c r="AM8" s="52" t="str">
        <f t="shared" ref="AM8:AM13" si="4">IFERROR(INDEX($D$17:$D$116,MATCH($AK8,$AI$17:$AI$116,0)),"")</f>
        <v>OKOK</v>
      </c>
      <c r="AN8" s="52" t="str">
        <f t="shared" ref="AN8:AN13" si="5">IFERROR(INDEX($E$17:$E$116,MATCH($AK8,$AI$17:$AI$116,0)),"")</f>
        <v>NSR250</v>
      </c>
      <c r="AO8" s="52" t="str">
        <f t="shared" ref="AO8:AO13" si="6">IFERROR(INDEX($BC$17:$BC$116,MATCH($AK8,$AI$17:$AI$116,0)),"")</f>
        <v>1:37:606</v>
      </c>
      <c r="AP8" s="6"/>
      <c r="AQ8" s="7"/>
      <c r="AR8" s="5"/>
      <c r="AS8" s="5"/>
      <c r="AU8" s="5"/>
      <c r="AV8" s="5"/>
      <c r="AW8" s="5"/>
      <c r="AX8" s="5"/>
      <c r="AY8" s="5"/>
      <c r="AZ8" s="5"/>
      <c r="BA8" s="5"/>
      <c r="BB8" s="5"/>
      <c r="BJ8" s="53"/>
      <c r="BK8" s="53"/>
      <c r="BM8" s="53"/>
      <c r="BN8" s="1"/>
      <c r="BO8" s="1"/>
      <c r="BP8" s="1"/>
      <c r="BQ8" s="1"/>
      <c r="BR8" s="1"/>
      <c r="BS8" s="1"/>
      <c r="BT8" s="1"/>
      <c r="BU8" s="1"/>
      <c r="BV8" s="1"/>
      <c r="BW8" s="1"/>
      <c r="BX8" s="1"/>
    </row>
    <row r="9">
      <c r="A9" s="1"/>
      <c r="B9" s="28" t="str">
        <f t="shared" ref="B9:Z9" si="1">IFERROR(INDEX(B$17:B$116,MATCH($BL$9,$BL$17:$BL$116,0),0),"")</f>
        <v>A</v>
      </c>
      <c r="C9" s="29">
        <f t="shared" si="1"/>
        <v>54</v>
      </c>
      <c r="D9" s="29" t="str">
        <f t="shared" si="1"/>
        <v>OKOK</v>
      </c>
      <c r="E9" s="61" t="str">
        <f t="shared" si="1"/>
        <v>NSR250</v>
      </c>
      <c r="F9" s="62" t="str">
        <f t="shared" si="1"/>
        <v>赤白</v>
      </c>
      <c r="G9" s="62" t="str">
        <f t="shared" si="1"/>
        <v>1:37:606</v>
      </c>
      <c r="H9" s="63" t="str">
        <f t="shared" si="1"/>
        <v>1:37:606</v>
      </c>
      <c r="I9" s="64">
        <f t="shared" si="1"/>
        <v>137606</v>
      </c>
      <c r="J9" s="29" t="str">
        <f t="shared" si="1"/>
        <v/>
      </c>
      <c r="K9" s="64" t="str">
        <f t="shared" si="1"/>
        <v>-</v>
      </c>
      <c r="L9" s="30" t="str">
        <f t="shared" si="1"/>
        <v>1</v>
      </c>
      <c r="M9" s="65" t="str">
        <f t="shared" si="1"/>
        <v>37</v>
      </c>
      <c r="N9" s="66" t="str">
        <f t="shared" si="1"/>
        <v>606</v>
      </c>
      <c r="O9" s="67" t="str">
        <f t="shared" si="1"/>
        <v>1:37:784</v>
      </c>
      <c r="P9" s="68" t="str">
        <f t="shared" si="1"/>
        <v>1:37:784</v>
      </c>
      <c r="Q9" s="28" t="str">
        <f t="shared" si="1"/>
        <v>A</v>
      </c>
      <c r="R9" s="29">
        <f t="shared" si="1"/>
        <v>54</v>
      </c>
      <c r="S9" s="29" t="str">
        <f t="shared" si="1"/>
        <v>OKOK</v>
      </c>
      <c r="T9" s="64" t="str">
        <f t="shared" si="1"/>
        <v>NSR250</v>
      </c>
      <c r="U9" s="35">
        <f t="shared" si="1"/>
        <v>137784</v>
      </c>
      <c r="V9" s="29" t="str">
        <f t="shared" si="1"/>
        <v/>
      </c>
      <c r="W9" s="35" t="str">
        <f t="shared" si="1"/>
        <v>-</v>
      </c>
      <c r="X9" s="30" t="str">
        <f t="shared" si="1"/>
        <v>1</v>
      </c>
      <c r="Y9" s="30" t="str">
        <f t="shared" si="1"/>
        <v>37</v>
      </c>
      <c r="Z9" s="31" t="str">
        <f t="shared" si="1"/>
        <v>784</v>
      </c>
      <c r="AA9" s="1"/>
      <c r="AB9" s="6"/>
      <c r="AC9" s="6"/>
      <c r="AD9" s="6"/>
      <c r="AE9" s="6"/>
      <c r="AF9" s="6"/>
      <c r="AG9" s="6">
        <f>MAX(AG17:AG117)</f>
        <v>160000</v>
      </c>
      <c r="AH9" s="6">
        <f t="array" ref="AH9">INDEX(AE17:AE35,MATCH(AG9,AD17:AD35,0))</f>
        <v>170000</v>
      </c>
      <c r="AI9" s="41" t="str">
        <f t="array" ref="AI9">INDEX(AC17:AC35,MATCH(MAX(AG17:AG116),AD17:AD35,0))</f>
        <v>A</v>
      </c>
      <c r="AJ9" s="41">
        <v>2.0</v>
      </c>
      <c r="AK9" s="41" t="str">
        <f t="shared" si="2"/>
        <v>A-2</v>
      </c>
      <c r="AL9" s="52" t="str">
        <f t="shared" si="3"/>
        <v>A</v>
      </c>
      <c r="AM9" s="52" t="str">
        <f t="shared" si="4"/>
        <v>ray</v>
      </c>
      <c r="AN9" s="52" t="str">
        <f t="shared" si="5"/>
        <v>YZ250X</v>
      </c>
      <c r="AO9" s="52" t="str">
        <f t="shared" si="6"/>
        <v>1:40:220</v>
      </c>
      <c r="AP9" s="6"/>
      <c r="AQ9" s="7"/>
      <c r="AR9" s="69"/>
      <c r="AS9" s="69"/>
      <c r="AT9" s="39">
        <f t="array" ref="AT9">IFERROR(INDEX(AT$17:AT$116,MATCH($BL$9,$BL$17:$BL$116,0),0),"")</f>
        <v>54</v>
      </c>
      <c r="AU9" s="69"/>
      <c r="AV9" s="69"/>
      <c r="AW9" s="69"/>
      <c r="AX9" s="69"/>
      <c r="AY9" s="69"/>
      <c r="AZ9" s="69"/>
      <c r="BA9" s="69"/>
      <c r="BB9" s="69"/>
      <c r="BC9" s="69" t="str">
        <f t="shared" ref="BC9:BI9" si="7">IFERROR(INDEX(BC$17:BC$116,MATCH($BL$9,$BL$17:$BL$116,0),0),"")</f>
        <v>1:37:606</v>
      </c>
      <c r="BD9" s="70">
        <f t="shared" si="7"/>
        <v>1</v>
      </c>
      <c r="BE9" s="70">
        <f t="shared" si="7"/>
        <v>1</v>
      </c>
      <c r="BF9" s="1">
        <f t="shared" si="7"/>
        <v>97606</v>
      </c>
      <c r="BG9" s="71">
        <f t="shared" si="7"/>
        <v>97784</v>
      </c>
      <c r="BH9" s="1">
        <f t="shared" si="7"/>
        <v>97606</v>
      </c>
      <c r="BI9" s="1">
        <f t="shared" si="7"/>
        <v>9760654</v>
      </c>
      <c r="BJ9" s="1"/>
      <c r="BK9" s="1"/>
      <c r="BL9" s="1">
        <v>1.0</v>
      </c>
      <c r="BM9" s="1"/>
      <c r="BN9" s="1"/>
      <c r="BO9" s="1"/>
      <c r="BP9" s="1"/>
      <c r="BQ9" s="1"/>
      <c r="BR9" s="1"/>
      <c r="BS9" s="1"/>
      <c r="BT9" s="1"/>
      <c r="BU9" s="1"/>
      <c r="BV9" s="1"/>
      <c r="BW9" s="1"/>
      <c r="BX9" s="1"/>
    </row>
    <row r="10">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6"/>
      <c r="AC10" s="6"/>
      <c r="AD10" s="6"/>
      <c r="AE10" s="6"/>
      <c r="AF10" s="6"/>
      <c r="AG10" s="6"/>
      <c r="AH10" s="6"/>
      <c r="AI10" s="41"/>
      <c r="AJ10" s="41">
        <v>3.0</v>
      </c>
      <c r="AK10" s="41" t="str">
        <f t="shared" si="2"/>
        <v>A-3</v>
      </c>
      <c r="AL10" s="52" t="str">
        <f t="shared" si="3"/>
        <v>A</v>
      </c>
      <c r="AM10" s="52" t="str">
        <f t="shared" si="4"/>
        <v>しゃんばり</v>
      </c>
      <c r="AN10" s="52" t="str">
        <f t="shared" si="5"/>
        <v>VTR</v>
      </c>
      <c r="AO10" s="52" t="str">
        <f t="shared" si="6"/>
        <v>9:99:999</v>
      </c>
      <c r="AP10" s="6"/>
      <c r="AQ10" s="7"/>
      <c r="AR10" s="1"/>
      <c r="AS10" s="1"/>
      <c r="AT10" s="1"/>
      <c r="AU10" s="1"/>
      <c r="AV10" s="1"/>
      <c r="AW10" s="1"/>
      <c r="AX10" s="1"/>
      <c r="AY10" s="1"/>
      <c r="AZ10" s="1"/>
      <c r="BA10" s="1"/>
      <c r="BB10" s="1"/>
      <c r="BC10" s="1"/>
      <c r="BD10" s="1"/>
      <c r="BE10" s="1"/>
      <c r="BF10" s="1"/>
      <c r="BG10" s="1"/>
      <c r="BH10" s="1"/>
      <c r="BI10" s="39"/>
      <c r="BJ10" s="1"/>
      <c r="BK10" s="1"/>
      <c r="BL10" s="1"/>
      <c r="BM10" s="1"/>
      <c r="BN10" s="1"/>
      <c r="BO10" s="1"/>
      <c r="BP10" s="1"/>
      <c r="BQ10" s="1"/>
      <c r="BR10" s="1"/>
      <c r="BS10" s="1"/>
      <c r="BT10" s="1"/>
      <c r="BU10" s="1"/>
      <c r="BV10" s="1"/>
      <c r="BW10" s="1"/>
      <c r="BX10" s="1"/>
    </row>
    <row r="11" ht="33.0" customHeight="1">
      <c r="A11" s="1"/>
      <c r="B11" s="72" t="s">
        <v>34</v>
      </c>
      <c r="C11" s="3"/>
      <c r="D11" s="3"/>
      <c r="E11" s="3"/>
      <c r="F11" s="3"/>
      <c r="G11" s="3"/>
      <c r="H11" s="3"/>
      <c r="I11" s="3"/>
      <c r="J11" s="3"/>
      <c r="K11" s="3"/>
      <c r="L11" s="3"/>
      <c r="M11" s="3"/>
      <c r="N11" s="3"/>
      <c r="O11" s="3"/>
      <c r="P11" s="3"/>
      <c r="Q11" s="3"/>
      <c r="R11" s="3"/>
      <c r="S11" s="3"/>
      <c r="T11" s="3"/>
      <c r="U11" s="3"/>
      <c r="V11" s="3"/>
      <c r="W11" s="3"/>
      <c r="X11" s="3"/>
      <c r="Y11" s="3"/>
      <c r="Z11" s="4"/>
      <c r="AA11" s="1"/>
      <c r="AB11" s="6"/>
      <c r="AC11" s="6"/>
      <c r="AD11" s="6"/>
      <c r="AE11" s="6"/>
      <c r="AF11" s="6"/>
      <c r="AI11" s="73"/>
      <c r="AJ11" s="73">
        <v>4.0</v>
      </c>
      <c r="AK11" s="41" t="str">
        <f t="shared" si="2"/>
        <v>A-4</v>
      </c>
      <c r="AL11" s="52" t="str">
        <f t="shared" si="3"/>
        <v/>
      </c>
      <c r="AM11" s="52" t="str">
        <f t="shared" si="4"/>
        <v/>
      </c>
      <c r="AN11" s="52" t="str">
        <f t="shared" si="5"/>
        <v/>
      </c>
      <c r="AO11" s="52" t="str">
        <f t="shared" si="6"/>
        <v/>
      </c>
      <c r="AP11" s="6"/>
      <c r="AQ11" s="7"/>
      <c r="AR11" s="1"/>
      <c r="AS11" s="1"/>
      <c r="AT11" s="1"/>
      <c r="AU11" s="1"/>
      <c r="AV11" s="1"/>
      <c r="AW11" s="1"/>
      <c r="AX11" s="1"/>
      <c r="AY11" s="1"/>
      <c r="AZ11" s="1"/>
      <c r="BA11" s="1"/>
      <c r="BB11" s="1"/>
      <c r="BC11" s="1"/>
      <c r="BD11" s="1"/>
      <c r="BE11" s="1"/>
      <c r="BF11" s="1"/>
      <c r="BG11" s="1"/>
      <c r="BH11" s="1"/>
      <c r="BI11" s="1"/>
      <c r="BJ11" s="39"/>
      <c r="BK11" s="1"/>
      <c r="BL11" s="1"/>
      <c r="BM11" s="1"/>
      <c r="BN11" s="1"/>
      <c r="BO11" s="1"/>
      <c r="BP11" s="1"/>
      <c r="BQ11" s="1"/>
      <c r="BR11" s="1"/>
      <c r="BS11" s="1"/>
      <c r="BT11" s="1"/>
      <c r="BU11" s="1"/>
      <c r="BV11" s="1"/>
      <c r="BW11" s="1"/>
      <c r="BX11" s="1"/>
    </row>
    <row r="12">
      <c r="A12" s="1"/>
      <c r="B12" s="74" t="s">
        <v>35</v>
      </c>
      <c r="C12" s="14"/>
      <c r="D12" s="14"/>
      <c r="E12" s="15"/>
      <c r="F12" s="75"/>
      <c r="G12" s="75"/>
      <c r="H12" s="76"/>
      <c r="I12" s="76" t="s">
        <v>36</v>
      </c>
      <c r="J12" s="14"/>
      <c r="K12" s="14"/>
      <c r="L12" s="14"/>
      <c r="M12" s="14"/>
      <c r="N12" s="14"/>
      <c r="O12" s="77"/>
      <c r="P12" s="77"/>
      <c r="Q12" s="74" t="s">
        <v>35</v>
      </c>
      <c r="R12" s="14"/>
      <c r="S12" s="14"/>
      <c r="T12" s="15"/>
      <c r="U12" s="77" t="s">
        <v>37</v>
      </c>
      <c r="V12" s="14"/>
      <c r="W12" s="14"/>
      <c r="X12" s="14"/>
      <c r="Y12" s="14"/>
      <c r="Z12" s="15"/>
      <c r="AA12" s="1"/>
      <c r="AB12" s="6"/>
      <c r="AC12" s="6"/>
      <c r="AD12" s="6"/>
      <c r="AE12" s="6"/>
      <c r="AF12" s="6"/>
      <c r="AG12" s="41" t="s">
        <v>38</v>
      </c>
      <c r="AI12" s="41"/>
      <c r="AJ12" s="41">
        <v>5.0</v>
      </c>
      <c r="AK12" s="41" t="str">
        <f t="shared" si="2"/>
        <v>A-5</v>
      </c>
      <c r="AL12" s="52" t="str">
        <f t="shared" si="3"/>
        <v/>
      </c>
      <c r="AM12" s="52" t="str">
        <f t="shared" si="4"/>
        <v/>
      </c>
      <c r="AN12" s="52" t="str">
        <f t="shared" si="5"/>
        <v/>
      </c>
      <c r="AO12" s="52" t="str">
        <f t="shared" si="6"/>
        <v/>
      </c>
      <c r="AP12" s="6"/>
      <c r="AQ12" s="7"/>
      <c r="AR12" s="1"/>
      <c r="AS12" s="1"/>
      <c r="AT12" s="1"/>
      <c r="AU12" s="1"/>
      <c r="AV12" s="1"/>
      <c r="AW12" s="1"/>
      <c r="AX12" s="1"/>
      <c r="AY12" s="1"/>
      <c r="AZ12" s="1"/>
      <c r="BA12" s="1"/>
      <c r="BB12" s="1"/>
      <c r="BC12" s="1"/>
      <c r="BD12" s="1"/>
      <c r="BE12" s="1"/>
      <c r="BF12" s="1"/>
      <c r="BG12" s="1"/>
      <c r="BH12" s="1"/>
      <c r="BI12" s="1"/>
      <c r="BJ12" s="39"/>
      <c r="BK12" s="1"/>
      <c r="BL12" s="1"/>
      <c r="BM12" s="1"/>
      <c r="BN12" s="1"/>
      <c r="BO12" s="1"/>
      <c r="BP12" s="1"/>
      <c r="BQ12" s="1"/>
      <c r="BR12" s="1"/>
      <c r="BS12" s="1"/>
      <c r="BT12" s="1"/>
      <c r="BU12" s="1"/>
      <c r="BV12" s="1"/>
      <c r="BW12" s="1"/>
      <c r="BX12" s="1"/>
    </row>
    <row r="13">
      <c r="A13" s="1"/>
      <c r="B13" s="78"/>
      <c r="C13" s="79"/>
      <c r="D13" s="79"/>
      <c r="E13" s="80"/>
      <c r="F13" s="81"/>
      <c r="G13" s="81"/>
      <c r="H13" s="82"/>
      <c r="I13" s="83"/>
      <c r="O13" s="84"/>
      <c r="P13" s="84"/>
      <c r="Q13" s="78"/>
      <c r="R13" s="79"/>
      <c r="S13" s="79"/>
      <c r="T13" s="80"/>
      <c r="Z13" s="85"/>
      <c r="AA13" s="1"/>
      <c r="AB13" s="6"/>
      <c r="AC13" s="6"/>
      <c r="AD13" s="41"/>
      <c r="AE13" s="6"/>
      <c r="AF13" s="6"/>
      <c r="AG13" s="6"/>
      <c r="AH13" s="6"/>
      <c r="AI13" s="86"/>
      <c r="AJ13" s="41">
        <v>6.0</v>
      </c>
      <c r="AK13" s="41" t="str">
        <f t="shared" si="2"/>
        <v>A-6</v>
      </c>
      <c r="AL13" s="52" t="str">
        <f t="shared" si="3"/>
        <v/>
      </c>
      <c r="AM13" s="52" t="str">
        <f t="shared" si="4"/>
        <v/>
      </c>
      <c r="AN13" s="52" t="str">
        <f t="shared" si="5"/>
        <v/>
      </c>
      <c r="AO13" s="52" t="str">
        <f t="shared" si="6"/>
        <v/>
      </c>
      <c r="AP13" s="6"/>
      <c r="AQ13" s="7"/>
      <c r="AT13" s="53"/>
      <c r="AW13" s="5"/>
      <c r="AX13" s="5"/>
      <c r="AY13" s="5"/>
      <c r="AZ13" s="5"/>
      <c r="BA13" s="5"/>
      <c r="BB13" s="5"/>
      <c r="BC13" s="5"/>
      <c r="BD13" s="5"/>
      <c r="BE13" s="5"/>
      <c r="BF13" s="53"/>
      <c r="BG13" s="53"/>
      <c r="BH13" s="5"/>
      <c r="BI13" s="5"/>
      <c r="BJ13" s="5"/>
      <c r="BK13" s="5"/>
      <c r="BL13" s="87"/>
      <c r="BM13" s="5"/>
      <c r="BN13" s="5"/>
      <c r="BO13" s="5"/>
      <c r="BP13" s="5"/>
      <c r="BQ13" s="5"/>
      <c r="BR13" s="5"/>
      <c r="BS13" s="5"/>
      <c r="BT13" s="1"/>
      <c r="BU13" s="1"/>
      <c r="BV13" s="1"/>
      <c r="BW13" s="1"/>
      <c r="BX13" s="1"/>
    </row>
    <row r="14">
      <c r="A14" s="1"/>
      <c r="B14" s="88" t="s">
        <v>1</v>
      </c>
      <c r="C14" s="89" t="s">
        <v>2</v>
      </c>
      <c r="D14" s="90" t="s">
        <v>17</v>
      </c>
      <c r="E14" s="91" t="s">
        <v>18</v>
      </c>
      <c r="F14" s="92" t="s">
        <v>19</v>
      </c>
      <c r="G14" s="93"/>
      <c r="H14" s="94" t="s">
        <v>20</v>
      </c>
      <c r="I14" s="95"/>
      <c r="J14" s="95"/>
      <c r="K14" s="95"/>
      <c r="L14" s="95"/>
      <c r="M14" s="95"/>
      <c r="N14" s="96"/>
      <c r="O14" s="97"/>
      <c r="P14" s="97" t="s">
        <v>21</v>
      </c>
      <c r="Q14" s="88" t="s">
        <v>1</v>
      </c>
      <c r="R14" s="89" t="s">
        <v>2</v>
      </c>
      <c r="S14" s="98" t="s">
        <v>17</v>
      </c>
      <c r="T14" s="99" t="s">
        <v>18</v>
      </c>
      <c r="U14" s="97" t="s">
        <v>21</v>
      </c>
      <c r="V14" s="95"/>
      <c r="W14" s="95"/>
      <c r="X14" s="95"/>
      <c r="Y14" s="95"/>
      <c r="Z14" s="100"/>
      <c r="AA14" s="1"/>
      <c r="AB14" s="6"/>
      <c r="AC14" s="6"/>
      <c r="AD14" s="41"/>
      <c r="AE14" s="6"/>
      <c r="AF14" s="6"/>
      <c r="AG14" s="6">
        <f>MAX(AH17:AH116)</f>
        <v>162054</v>
      </c>
      <c r="AH14" s="6"/>
      <c r="AI14" s="86"/>
      <c r="AJ14" s="86"/>
      <c r="AK14" s="86" t="s">
        <v>38</v>
      </c>
      <c r="AL14" s="52" t="str">
        <f t="array" ref="AL14">IFERROR(INDEX($B$17:$B$116,MATCH($AG$14,$AH$17:$AH$116,0)),"")</f>
        <v>A</v>
      </c>
      <c r="AM14" s="52" t="str">
        <f t="array" ref="AM14">IFERROR(INDEX($D$17:$D$116,MATCH($AG$14,$AH$17:$AH$116,0)),"")</f>
        <v>OKOK</v>
      </c>
      <c r="AN14" s="52" t="str">
        <f t="array" ref="AN14">IFERROR(INDEX($E$17:$E$116,MATCH($AG$14,$AH$17:$AH$116,0)),"")</f>
        <v>NSR250</v>
      </c>
      <c r="AO14" s="52" t="str">
        <f t="array" ref="AO14">IFERROR(INDEX($BC$17:$BC$116,MATCH($AG$14,$AH$17:$AH$116,0)),"")</f>
        <v>1:37:606</v>
      </c>
      <c r="AP14" s="6"/>
      <c r="AQ14" s="7"/>
      <c r="AT14" s="53" t="s">
        <v>23</v>
      </c>
      <c r="AW14" s="5" t="s">
        <v>39</v>
      </c>
      <c r="AX14" s="5" t="s">
        <v>40</v>
      </c>
      <c r="AY14" s="5" t="s">
        <v>41</v>
      </c>
      <c r="AZ14" s="5" t="s">
        <v>42</v>
      </c>
      <c r="BA14" s="5" t="s">
        <v>43</v>
      </c>
      <c r="BB14" s="5" t="s">
        <v>44</v>
      </c>
      <c r="BC14" s="5" t="s">
        <v>24</v>
      </c>
      <c r="BD14" s="5" t="s">
        <v>25</v>
      </c>
      <c r="BE14" s="5" t="s">
        <v>26</v>
      </c>
      <c r="BF14" s="53" t="s">
        <v>27</v>
      </c>
      <c r="BG14" s="53" t="s">
        <v>28</v>
      </c>
      <c r="BH14" s="5" t="s">
        <v>45</v>
      </c>
      <c r="BI14" s="5" t="s">
        <v>46</v>
      </c>
      <c r="BJ14" s="5" t="s">
        <v>47</v>
      </c>
      <c r="BK14" s="5" t="s">
        <v>48</v>
      </c>
      <c r="BL14" s="87" t="s">
        <v>49</v>
      </c>
      <c r="BM14" s="5" t="s">
        <v>50</v>
      </c>
      <c r="BN14" s="5" t="s">
        <v>32</v>
      </c>
      <c r="BO14" s="5" t="s">
        <v>51</v>
      </c>
      <c r="BP14" s="5" t="s">
        <v>52</v>
      </c>
      <c r="BQ14" s="5" t="s">
        <v>53</v>
      </c>
      <c r="BR14" s="5" t="s">
        <v>54</v>
      </c>
      <c r="BS14" s="5" t="s">
        <v>55</v>
      </c>
      <c r="BT14" s="1"/>
      <c r="BU14" s="1"/>
      <c r="BV14" s="1"/>
      <c r="BW14" s="1"/>
      <c r="BX14" s="1"/>
    </row>
    <row r="15">
      <c r="A15" s="1"/>
      <c r="B15" s="83"/>
      <c r="C15" s="101"/>
      <c r="D15" s="102"/>
      <c r="E15" s="103"/>
      <c r="F15" s="104"/>
      <c r="G15" s="105"/>
      <c r="H15" s="106"/>
      <c r="I15" s="107" t="s">
        <v>56</v>
      </c>
      <c r="J15" s="108"/>
      <c r="K15" s="109"/>
      <c r="L15" s="110" t="s">
        <v>57</v>
      </c>
      <c r="M15" s="108"/>
      <c r="N15" s="108"/>
      <c r="O15" s="111"/>
      <c r="P15" s="97"/>
      <c r="Q15" s="83"/>
      <c r="R15" s="101"/>
      <c r="S15" s="102"/>
      <c r="T15" s="103"/>
      <c r="U15" s="107" t="s">
        <v>56</v>
      </c>
      <c r="V15" s="108"/>
      <c r="W15" s="109"/>
      <c r="X15" s="110" t="s">
        <v>57</v>
      </c>
      <c r="Y15" s="108"/>
      <c r="Z15" s="112"/>
      <c r="AA15" s="1"/>
      <c r="AB15" s="6"/>
      <c r="AC15" s="6"/>
      <c r="AD15" s="6"/>
      <c r="AE15" s="6"/>
      <c r="AF15" s="6"/>
      <c r="AG15" s="6"/>
      <c r="AH15" s="6"/>
      <c r="AI15" s="6"/>
      <c r="AJ15" s="6"/>
      <c r="AK15" s="6"/>
      <c r="AL15" s="6"/>
      <c r="AM15" s="6"/>
      <c r="AN15" s="6"/>
      <c r="AO15" s="6"/>
      <c r="AP15" s="6"/>
      <c r="AQ15" s="7"/>
      <c r="AR15" s="113" t="s">
        <v>58</v>
      </c>
      <c r="AS15" s="114"/>
      <c r="AU15" s="115" t="s">
        <v>59</v>
      </c>
      <c r="AV15" s="115" t="s">
        <v>59</v>
      </c>
      <c r="BT15" s="1"/>
      <c r="BU15" s="1"/>
      <c r="BV15" s="1"/>
      <c r="BW15" s="1"/>
      <c r="BX15" s="1"/>
    </row>
    <row r="16">
      <c r="A16" s="1"/>
      <c r="B16" s="78"/>
      <c r="C16" s="116"/>
      <c r="D16" s="117"/>
      <c r="E16" s="118"/>
      <c r="F16" s="119"/>
      <c r="G16" s="120" t="s">
        <v>60</v>
      </c>
      <c r="H16" s="121" t="s">
        <v>7</v>
      </c>
      <c r="I16" s="122" t="s">
        <v>7</v>
      </c>
      <c r="J16" s="123" t="s">
        <v>8</v>
      </c>
      <c r="K16" s="124" t="s">
        <v>9</v>
      </c>
      <c r="L16" s="25" t="s">
        <v>10</v>
      </c>
      <c r="M16" s="26" t="s">
        <v>11</v>
      </c>
      <c r="N16" s="26" t="s">
        <v>12</v>
      </c>
      <c r="O16" s="125" t="s">
        <v>60</v>
      </c>
      <c r="P16" s="126" t="s">
        <v>7</v>
      </c>
      <c r="Q16" s="78"/>
      <c r="R16" s="116"/>
      <c r="S16" s="117"/>
      <c r="T16" s="118"/>
      <c r="U16" s="122" t="s">
        <v>7</v>
      </c>
      <c r="V16" s="123" t="s">
        <v>8</v>
      </c>
      <c r="W16" s="124" t="s">
        <v>9</v>
      </c>
      <c r="X16" s="25" t="s">
        <v>10</v>
      </c>
      <c r="Y16" s="26" t="s">
        <v>11</v>
      </c>
      <c r="Z16" s="27" t="s">
        <v>12</v>
      </c>
      <c r="AA16" s="1"/>
      <c r="AE16" s="41"/>
      <c r="AF16" s="41"/>
      <c r="AG16" s="41" t="s">
        <v>61</v>
      </c>
      <c r="AH16" s="41" t="s">
        <v>62</v>
      </c>
      <c r="AI16" s="41" t="s">
        <v>32</v>
      </c>
      <c r="AJ16" s="41"/>
      <c r="AK16" s="41" t="s">
        <v>31</v>
      </c>
      <c r="AL16" s="6"/>
      <c r="AM16" s="6"/>
      <c r="AN16" s="6"/>
      <c r="AO16" s="6"/>
      <c r="AP16" s="6"/>
      <c r="AQ16" s="7"/>
      <c r="AR16" s="127" t="s">
        <v>1</v>
      </c>
      <c r="AS16" s="127" t="s">
        <v>63</v>
      </c>
      <c r="AU16" s="115" t="s">
        <v>64</v>
      </c>
      <c r="AV16" s="115" t="s">
        <v>65</v>
      </c>
      <c r="BT16" s="1"/>
      <c r="BU16" s="1"/>
      <c r="BV16" s="1"/>
      <c r="BW16" s="1"/>
      <c r="BX16" s="1"/>
    </row>
    <row r="17">
      <c r="A17" s="39"/>
      <c r="B17" s="128" t="str">
        <f t="array" ref="B17">IFERROR(INDEX('DB(読み込みシート※編集厳禁)'!$A$3:$AH$501,MATCH($C17,'DB(読み込みシート※編集厳禁)'!$B$3:$B$501,0),MATCH(B$14,'DB(読み込みシート※編集厳禁)'!$A$2:$AH$2,0)),"")</f>
        <v>D</v>
      </c>
      <c r="C17" s="129">
        <v>1.0</v>
      </c>
      <c r="D17" s="130" t="str">
        <f t="array" ref="D17">IFERROR(INDEX('DB(読み込みシート※編集厳禁)'!$A$3:$AH$501,MATCH($C17,'DB(読み込みシート※編集厳禁)'!$B$3:$B$501,0),MATCH(D$14,'DB(読み込みシート※編集厳禁)'!$A$2:$AH$2,0)),"")</f>
        <v>すちんぐれ</v>
      </c>
      <c r="E17" s="131" t="str">
        <f t="array" ref="E17">IFERROR(INDEX('DB(読み込みシート※編集厳禁)'!$A$3:$AH$501,MATCH($C17,'DB(読み込みシート※編集厳禁)'!$B$3:$B$501,0),MATCH(E$14,'DB(読み込みシート※編集厳禁)'!$A$2:$AH$2,0)),"")</f>
        <v>VTR</v>
      </c>
      <c r="F17" s="132" t="str">
        <f t="array" ref="F17">IFERROR(INDEX('DB(読み込みシート※編集厳禁)'!$A$3:$AH$501,MATCH($C17,'DB(読み込みシート※編集厳禁)'!$B$3:$B$501,0),MATCH(F$14,'DB(読み込みシート※編集厳禁)'!$A$2:$AH$2,0)),"")</f>
        <v>黒</v>
      </c>
      <c r="G17" s="133" t="str">
        <f t="shared" ref="G17:G116" si="8">IF($D17="","",IF(K17="MC","9:99:999",IF(AND(L17="",M17="",N17=""),"DNS",IF(L17&gt;=1,TEXT(L17,"0"),"0")&amp;":"&amp;TEXT(IF(M17&gt;=10,M17,"0"&amp;M17),"00")&amp;":"&amp;TEXT(IF(N17&lt;10,"00"&amp;N17,IF(N17&lt;100,"0"&amp;N17,N17)),"000"))))</f>
        <v>1:57:901</v>
      </c>
      <c r="H17" s="134" t="str">
        <f t="shared" ref="H17:H116" si="9">IF(K17="MC","9:99:999",IF(IF(M17+J17&gt;59,L17+1,L17)&lt;1,0,IF(M17+J17&gt;59,L17+1,L17))&amp;":"&amp;IF(IF(M17+J17&gt;59,M17+J17-60,M17+J17)&lt;10,0&amp;IF(M17+J17&gt;59,M17+J17-60,M17+J17),IF(M17+J17&gt;59,60-M17+J17,M17+J17))&amp;":"&amp;IF(N17="","000",IF(N17&lt;10,"00"&amp;N17,IF(N17&lt;100,"0"&amp;N17,N17))))</f>
        <v>1:57:901</v>
      </c>
      <c r="I17" s="135">
        <v>157901.0</v>
      </c>
      <c r="J17" s="136"/>
      <c r="K17" s="137" t="s">
        <v>15</v>
      </c>
      <c r="L17" s="138" t="str">
        <f t="shared" ref="L17:L116" si="10">MID(I17,1,1)</f>
        <v>1</v>
      </c>
      <c r="M17" s="139" t="str">
        <f t="shared" ref="M17:M116" si="11">IF(LENB(I17)=1,0,IF(LENB(I17)=2,MID(I17,2,1)*10,MID(I17,2,2)))</f>
        <v>57</v>
      </c>
      <c r="N17" s="140" t="str">
        <f t="shared" ref="N17:N116" si="12">IF(LENB(I17)=4,MID(I17,4,1)*100,IF(LENB(I17)=5,MID(I17,4,2)*10,IF(LENB(I17)=6,MID(I17,4,3),MID(I17,4,3))))</f>
        <v>901</v>
      </c>
      <c r="O17" s="141" t="str">
        <f t="shared" ref="O17:O116" si="13">IF($D17="","",IF(W17="MC","9:99:999",IF(AND(X17="",Y17="",Z17=""),"DNS",IF(X17&gt;=1,X17,"0")&amp;":"&amp;TEXT(IF(Y17&gt;=10,Y17,"0"&amp;Y17),"00")&amp;":"&amp;TEXT(IF(Z17&lt;10,"00"&amp;Z17,IF(Z17&lt;100,"0"&amp;Z17,Z17)),"000"))))</f>
        <v>2:00:349</v>
      </c>
      <c r="P17" s="142" t="str">
        <f t="shared" ref="P17:P116" si="14">IF(W17="MC","9:99:999",IF(IF(Y17+V17&gt;59,X17+1,X17)&lt;1,0,IF(Y17+V17&gt;59,X17+1,X17))&amp;":"&amp;IF(IF(Y17+V17&gt;59,Y17+V17-60,Y17+V17)&lt;10,0&amp;IF(Y17+V17&gt;59,Y17+V17-60,Y17+V17),IF(Y17+V17&gt;59,60-Y17+V17,Y17+V17))&amp;":"&amp;IF(Z17="","000",IF(Z17&lt;10,"00"&amp;Z17,IF(Z17&lt;100,"0"&amp;Z17,Z17))))</f>
        <v>2:00:349</v>
      </c>
      <c r="Q17" s="128" t="str">
        <f t="array" ref="Q17">IFERROR(INDEX('DB(読み込みシート※編集厳禁)'!$A$3:$AH$501,MATCH($C17,'DB(読み込みシート※編集厳禁)'!$B$3:$B$501,0),MATCH(Q$14,'DB(読み込みシート※編集厳禁)'!$A$2:$AH$2,0)),"")</f>
        <v>D</v>
      </c>
      <c r="R17" s="129">
        <v>1.0</v>
      </c>
      <c r="S17" s="130" t="str">
        <f t="array" ref="S17">IFERROR(INDEX('DB(読み込みシート※編集厳禁)'!$A$3:$AH$501,MATCH($C17,'DB(読み込みシート※編集厳禁)'!$B$3:$B$501,0),MATCH(S$14,'DB(読み込みシート※編集厳禁)'!$A$2:$AH$2,0)),"")</f>
        <v>すちんぐれ</v>
      </c>
      <c r="T17" s="131" t="str">
        <f t="array" ref="T17">IFERROR(INDEX('DB(読み込みシート※編集厳禁)'!$A$3:$AH$501,MATCH($C17,'DB(読み込みシート※編集厳禁)'!$B$3:$B$501,0),MATCH(T$14,'DB(読み込みシート※編集厳禁)'!$A$2:$AH$2,0)),"")</f>
        <v>VTR</v>
      </c>
      <c r="U17" s="135">
        <v>200349.0</v>
      </c>
      <c r="V17" s="143"/>
      <c r="W17" s="137" t="s">
        <v>15</v>
      </c>
      <c r="X17" s="138" t="str">
        <f t="shared" ref="X17:X116" si="15">MID(U17,1,1)</f>
        <v>2</v>
      </c>
      <c r="Y17" s="139" t="str">
        <f t="shared" ref="Y17:Y116" si="16">IF(LENB(U17)=1,0,IF(LENB(U17)=2,MID(U17,2,1)*10,MID(U17,2,2)))</f>
        <v>00</v>
      </c>
      <c r="Z17" s="144" t="str">
        <f t="shared" ref="Z17:Z116" si="17">IF(LENB(U17)=4,MID(U17,4,1)*100,IF(LENB(U17)=5,MID(U17,4,2)*10,IF(LENB(U17)=6,MID(U17,4,3),MID(U17,4,3))))</f>
        <v>349</v>
      </c>
      <c r="AA17" s="1"/>
      <c r="AB17" s="41" t="s">
        <v>20</v>
      </c>
      <c r="AC17" s="41" t="s">
        <v>66</v>
      </c>
      <c r="AD17" s="41">
        <v>10000.0</v>
      </c>
      <c r="AE17" s="41">
        <v>20000.0</v>
      </c>
      <c r="AF17" s="6"/>
      <c r="AG17" s="6">
        <f t="shared" ref="AG17:AG116" si="18">IF(AND(N17="", Z17=""),"",IF(Z17&lt;&gt;"",INDEX($AD$17:$AD$35,MATCH(B17,$AC$17:$AC$35,0))+$AC$26,INDEX($AD$17:$AD$35,MATCH(B17,$AC$17:$AC$35,0))))</f>
        <v>90000</v>
      </c>
      <c r="AH17" s="6">
        <f t="shared" ref="AH17:AH116" si="19">IF(Z17&lt;&gt;"",R17+2000+AG17,IF(N17&lt;&gt;"",C17+1000+AG17,""))</f>
        <v>92001</v>
      </c>
      <c r="AI17" s="6" t="str">
        <f t="shared" ref="AI17:AI116" si="20">B17&amp;"-"&amp;BN17</f>
        <v>D-9</v>
      </c>
      <c r="AJ17" s="6"/>
      <c r="AK17" s="6" t="str">
        <f t="shared" ref="AK17:AK116" si="21">IF(MIN($BL$17:$BL$116)=BL17,BL17,"")</f>
        <v/>
      </c>
      <c r="AL17" s="6"/>
      <c r="AM17" s="6"/>
      <c r="AN17" s="6"/>
      <c r="AO17" s="6"/>
      <c r="AP17" s="6"/>
      <c r="AQ17" s="7"/>
      <c r="AR17" s="145" t="s">
        <v>67</v>
      </c>
      <c r="AS17" s="146">
        <v>1.0E11</v>
      </c>
      <c r="AT17" s="39">
        <v>1.0</v>
      </c>
      <c r="AU17" s="69" t="str">
        <f t="array" ref="AU17">IFERROR(INDEX('DB(読み込みシート※編集厳禁)'!$A$3:$AH$501,MATCH($C17,'DB(読み込みシート※編集厳禁)'!$B$3:$B$501,0),MATCH(AU$16,'DB(読み込みシート※編集厳禁)'!$A$2:$AH$2,0)),"")</f>
        <v>いいえ</v>
      </c>
      <c r="AV17" s="69" t="str">
        <f t="array" ref="AV17">IFERROR(INDEX('DB(読み込みシート※編集厳禁)'!$A$3:$AH$501,MATCH($C17,'DB(読み込みシート※編集厳禁)'!$B$3:$B$501,0),MATCH(AV$16,'DB(読み込みシート※編集厳禁)'!$A$2:$AH$2,0)),"")</f>
        <v>いいえ</v>
      </c>
      <c r="AW17" s="69" t="str">
        <f t="shared" ref="AW17:AW116" si="22">IF($D17="","",IF(K17="MC","9:99:999",IF(AND(L17="",M17="",N17=""),"DNS",IF(L17&gt;=1,L17,"0")&amp;":"&amp;TEXT(IF(M17&gt;=10,M17,"0"&amp;M17),"00")&amp;":"&amp;TEXT(IF(N17&lt;10,"00"&amp;N17,IF(N17&lt;100,"0"&amp;N17,N17)),"000"))))</f>
        <v>1:57:901</v>
      </c>
      <c r="AX17" s="69" t="str">
        <f t="shared" ref="AX17:AX116" si="23">IF($D17="","",IF(AW17="DNS","DNS",IF(K17="MC","9:99:999",IF(IF(M17+J17&gt;59,L17+1,L17)&lt;1,0,IF(M17+J17&gt;59,L17+1,L17))&amp;":"&amp;IF(IF(M17+J17&gt;59,M17+J17-60,M17+J17)&lt;10,0&amp;IF(M17+J17&gt;59,M17+J17-60,M17+J17),IF(M17+J17&gt;59,60-M17+J17,M17+J17))&amp;":"&amp;IF(N17="","000",IF(N17&lt;10,"00"&amp;N17,IF(N17&lt;100,"0"&amp;N17,N17))))))</f>
        <v>1:57:901</v>
      </c>
      <c r="AY17" s="69" t="str">
        <f t="shared" ref="AY17:AY116" si="24">IF($D17="","",IF(K17="MC","MC",IF(OR(J17=0,J17=""),"-",J17)))</f>
        <v>-</v>
      </c>
      <c r="AZ17" s="69" t="str">
        <f t="shared" ref="AZ17:AZ116" si="25">IF($D17="","",IF(W17="MC","9:99:999",IF(AND(X17="",Y17="",Z17=""),"DNS",IF(X17&gt;=1,X17,"0")&amp;":"&amp;TEXT(IF(Y17&gt;=10,Y17,"0"&amp;Y17),"00")&amp;":"&amp;TEXT(IF(Z17&lt;10,"00"&amp;Z17,IF(Z17&lt;100,"0"&amp;Z17,Z17)),"000"))))</f>
        <v>2:00:349</v>
      </c>
      <c r="BA17" s="69" t="str">
        <f t="shared" ref="BA17:BA116" si="26">IF($D17="","",IF(AZ17="DNS","DNS",IF(W17="MC","9:99:999",IF(IF(Y17+V17&gt;59,X17+1,X17)&lt;1,0,IF(Y17+V17&gt;59,X17+1,X17))&amp;":"&amp;IF(IF(Y17+V17&gt;59,Y17+V17-60,Y17+V17)&lt;10,0&amp;IF(Y17+V17&gt;59,Y17+V17-60,Y17+V17),IF(Y17+V17&gt;59,60-Y17+V17,Y17+V17))&amp;":"&amp;IF(Z17="","000",IF(Z17&lt;10,"00"&amp;Z17,IF(Z17&lt;100,"0"&amp;Z17,Z17))))))</f>
        <v>2:00:349</v>
      </c>
      <c r="BB17" s="69" t="str">
        <f t="shared" ref="BB17:BB116" si="27">IF($D17="","",IF(W17="MC","MC",IF(OR(V17=0,V17=""),"-",V17)))</f>
        <v>-</v>
      </c>
      <c r="BC17" s="69" t="str">
        <f t="shared" ref="BC17:BC116" si="28">IF($D17="","",IF(AND(AX17="DNS",BA17="DNS"),"DNS", IF(BH17="","-", IF(OR(P17="0:00:000",H17="0:00:000"),IF(BF17&lt;BG17,P17,H17),IF(BF17&lt;BG17,H17,P17)))))</f>
        <v>1:57:901</v>
      </c>
      <c r="BD17" s="70">
        <f t="shared" ref="BD17:BD110" si="29">IFERROR(IF($D17="","",IF(BH17&gt;=900000,"-",IF(K17="MC",IF(W17="MC","-", 1+((BH17-$BH$9)/$BH$9)),1+((BH17-$BH$9)/$BH$9)))),"-")</f>
        <v>1.207927791</v>
      </c>
      <c r="BE17" s="70">
        <f t="shared" ref="BE17:BE116" si="30">IFERROR(IF($D17="","",IF(BH17="","-",IF(BH17&gt;=900000,"-",IF(K17="MC",IF(W17="MC","-", 1+((BH17-$BC$4)/$BC$4)),1+((BH17-$BC$4)/$BC$4))))),"-")</f>
        <v>1.207927791</v>
      </c>
      <c r="BF17" s="147">
        <f t="shared" ref="BF17:BF116" si="31">IF($D17="","",IF(I17="",999999, IF(K17="MC",999999,(L17*60*1000)+(M17*1000)+N17+(J17*1000))))</f>
        <v>117901</v>
      </c>
      <c r="BG17" s="147">
        <f t="shared" ref="BG17:BG116" si="32">IF($D17="","",IF(U17="",999999,IF(W17="MC",999999,(X17*60*1000)+(Y17*1000)+Z17+(V17*1000))))</f>
        <v>120349</v>
      </c>
      <c r="BH17" s="1">
        <f t="shared" ref="BH17:BH116" si="33">IF($D17="","",IF(AND(BG17=0,BF17=0),"", IF(OR(BG17=0,BF17=0),LARGE(BF17:BG17,1),SMALL(BF17:BG17,1))))</f>
        <v>117901</v>
      </c>
      <c r="BI17" s="1">
        <f t="shared" ref="BI17:BI116" si="34">IF($D17="","",IF(AND(G17="DNS",O17="DNS"),10000000000+AT17, IF(BH17="","",BH17*100+AT17)))</f>
        <v>11790101</v>
      </c>
      <c r="BJ17" s="1">
        <f t="shared" ref="BJ17:BJ116" si="35">IF($D17="","",INDEX($AS$17:$AS$24,MATCH(B17,$AR$17:$AR$24,))+BI17)</f>
        <v>500011790101</v>
      </c>
      <c r="BK17" s="1">
        <f t="shared" ref="BK17:BK116" si="36">IF($D17="","",IF(BC17="-",900000000000,INT(BI17/100)))</f>
        <v>117901</v>
      </c>
      <c r="BL17" s="1">
        <f t="shared" ref="BL17:BL110" si="37">IFERROR(IF($D17="","",IF(AND(AW17="DNS",AZ17="DNS"),"-",IF(BK17&gt;=900000000000,"-",COUNTIFS($BK$17:$BK$116,"&lt;"&amp;BK17)+1))),"")</f>
        <v>35</v>
      </c>
      <c r="BM17" s="1" t="str">
        <f t="shared" ref="BM17:BM116" si="38">IF($D17="","","総合"&amp;COUNTIFS($BJ$17:$BJ$116,"&lt;"&amp;BJ17)+1)</f>
        <v>総合36</v>
      </c>
      <c r="BN17" s="1">
        <f t="shared" ref="BN17:BN110" si="39">IFERROR(IF($D17="","",IF(AND(AW17="DNS",AZ17="DNS"),"-",IF(BK17&gt;=900000000000,"-",COUNTIFS($BK$17:$BK$116,"&lt;"&amp;BK17,$B$17:$B$116,B17)+1))),"")</f>
        <v>9</v>
      </c>
      <c r="BO17" s="1" t="str">
        <f t="shared" ref="BO17:BO116" si="40">IF($D17="","",B17&amp;COUNTIFS($BJ$17:$BJ$116,"&lt;"&amp;BJ17,$B$17:$B$116,B17)+1)</f>
        <v>D9</v>
      </c>
      <c r="BP17" s="1" t="str">
        <f t="shared" ref="BP17:BP110" si="41">IF($D17="","",IFERROR(IF(AND(AW17="DNS",AZ17="DNS"),"-",IF(AU17="いいえ","-",IF(BK17&gt;=900000000000,"-",COUNTIFS($BK$17:$BK$116,"&lt;"&amp;BK17,$AU$17:$AU$116,"はい")+1))),""))</f>
        <v>-</v>
      </c>
      <c r="BQ17" s="1" t="str">
        <f t="shared" ref="BQ17:BQ116" si="42">IF($D17="","","セパハン"&amp;BP17)</f>
        <v>セパハン-</v>
      </c>
      <c r="BR17" s="1" t="str">
        <f t="shared" ref="BR17:BR110" si="43">IF($D17="","",IFERROR(IF(AND(AW17="DNS",AZ17="DNS"),"-",IF(AV17="いいえ","-",IF(BK17&gt;=900000000000,"-",COUNTIFS($BK$17:$BK$116,"&lt;"&amp;BK17,$AV$17:$AV$116,"はい")+1))),""))</f>
        <v>-</v>
      </c>
      <c r="BS17" s="1" t="str">
        <f t="shared" ref="BS17:BS116" si="44">IF($D17="","","ミニ"&amp;BR17)</f>
        <v>ミニ-</v>
      </c>
      <c r="BT17" s="1"/>
      <c r="BU17" s="1"/>
      <c r="BV17" s="1"/>
      <c r="BW17" s="1"/>
      <c r="BX17" s="1"/>
    </row>
    <row r="18">
      <c r="A18" s="1"/>
      <c r="B18" s="148" t="str">
        <f t="array" ref="B18">IFERROR(INDEX('DB(読み込みシート※編集厳禁)'!$A$3:$AH$501,MATCH($C18,'DB(読み込みシート※編集厳禁)'!$B$3:$B$501,0),MATCH(B$14,'DB(読み込みシート※編集厳禁)'!$A$2:$AH$2,0)),"")</f>
        <v>D</v>
      </c>
      <c r="C18" s="149">
        <v>2.0</v>
      </c>
      <c r="D18" s="150" t="str">
        <f t="array" ref="D18">IFERROR(INDEX('DB(読み込みシート※編集厳禁)'!$A$3:$AH$501,MATCH($C18,'DB(読み込みシート※編集厳禁)'!$B$3:$B$501,0),MATCH(D$14,'DB(読み込みシート※編集厳禁)'!$A$2:$AH$2,0)),"")</f>
        <v>ちゃっぴー</v>
      </c>
      <c r="E18" s="151" t="str">
        <f t="array" ref="E18">IFERROR(INDEX('DB(読み込みシート※編集厳禁)'!$A$3:$AH$501,MATCH($C18,'DB(読み込みシート※編集厳禁)'!$B$3:$B$501,0),MATCH(E$14,'DB(読み込みシート※編集厳禁)'!$A$2:$AH$2,0)),"")</f>
        <v>CB250R</v>
      </c>
      <c r="F18" s="132" t="str">
        <f t="array" ref="F18">IFERROR(INDEX('DB(読み込みシート※編集厳禁)'!$A$3:$AH$501,MATCH($C18,'DB(読み込みシート※編集厳禁)'!$B$3:$B$501,0),MATCH(F$14,'DB(読み込みシート※編集厳禁)'!$A$2:$AH$2,0)),"")</f>
        <v>シルバー</v>
      </c>
      <c r="G18" s="133" t="str">
        <f t="shared" si="8"/>
        <v>1:54:429</v>
      </c>
      <c r="H18" s="152" t="str">
        <f t="shared" si="9"/>
        <v>1:54:429</v>
      </c>
      <c r="I18" s="135">
        <v>154429.0</v>
      </c>
      <c r="J18" s="153"/>
      <c r="K18" s="137" t="s">
        <v>15</v>
      </c>
      <c r="L18" s="138" t="str">
        <f t="shared" si="10"/>
        <v>1</v>
      </c>
      <c r="M18" s="139" t="str">
        <f t="shared" si="11"/>
        <v>54</v>
      </c>
      <c r="N18" s="140" t="str">
        <f t="shared" si="12"/>
        <v>429</v>
      </c>
      <c r="O18" s="141" t="str">
        <f t="shared" si="13"/>
        <v>1:53:304</v>
      </c>
      <c r="P18" s="154" t="str">
        <f t="shared" si="14"/>
        <v>1:53:304</v>
      </c>
      <c r="Q18" s="148" t="str">
        <f t="array" ref="Q18">IFERROR(INDEX('DB(読み込みシート※編集厳禁)'!$A$3:$AH$501,MATCH($C18,'DB(読み込みシート※編集厳禁)'!$B$3:$B$501,0),MATCH(Q$14,'DB(読み込みシート※編集厳禁)'!$A$2:$AH$2,0)),"")</f>
        <v>D</v>
      </c>
      <c r="R18" s="149">
        <v>2.0</v>
      </c>
      <c r="S18" s="150" t="str">
        <f t="array" ref="S18">IFERROR(INDEX('DB(読み込みシート※編集厳禁)'!$A$3:$AH$501,MATCH($C18,'DB(読み込みシート※編集厳禁)'!$B$3:$B$501,0),MATCH(S$14,'DB(読み込みシート※編集厳禁)'!$A$2:$AH$2,0)),"")</f>
        <v>ちゃっぴー</v>
      </c>
      <c r="T18" s="151" t="str">
        <f t="array" ref="T18">IFERROR(INDEX('DB(読み込みシート※編集厳禁)'!$A$3:$AH$501,MATCH($C18,'DB(読み込みシート※編集厳禁)'!$B$3:$B$501,0),MATCH(T$14,'DB(読み込みシート※編集厳禁)'!$A$2:$AH$2,0)),"")</f>
        <v>CB250R</v>
      </c>
      <c r="U18" s="135">
        <v>153304.0</v>
      </c>
      <c r="V18" s="155"/>
      <c r="W18" s="137" t="s">
        <v>15</v>
      </c>
      <c r="X18" s="138" t="str">
        <f t="shared" si="15"/>
        <v>1</v>
      </c>
      <c r="Y18" s="139" t="str">
        <f t="shared" si="16"/>
        <v>53</v>
      </c>
      <c r="Z18" s="144" t="str">
        <f t="shared" si="17"/>
        <v>304</v>
      </c>
      <c r="AA18" s="1"/>
      <c r="AB18" s="41" t="s">
        <v>20</v>
      </c>
      <c r="AC18" s="41" t="s">
        <v>68</v>
      </c>
      <c r="AD18" s="41">
        <v>20000.0</v>
      </c>
      <c r="AE18" s="41">
        <v>30000.0</v>
      </c>
      <c r="AF18" s="6"/>
      <c r="AG18" s="6">
        <f t="shared" si="18"/>
        <v>90000</v>
      </c>
      <c r="AH18" s="6">
        <f t="shared" si="19"/>
        <v>92002</v>
      </c>
      <c r="AI18" s="6" t="str">
        <f t="shared" si="20"/>
        <v>D-8</v>
      </c>
      <c r="AJ18" s="6"/>
      <c r="AK18" s="6" t="str">
        <f t="shared" si="21"/>
        <v/>
      </c>
      <c r="AL18" s="6"/>
      <c r="AM18" s="6"/>
      <c r="AN18" s="6"/>
      <c r="AO18" s="6"/>
      <c r="AP18" s="6"/>
      <c r="AQ18" s="7"/>
      <c r="AR18" s="145" t="s">
        <v>69</v>
      </c>
      <c r="AS18" s="146">
        <v>2.0E11</v>
      </c>
      <c r="AT18" s="39">
        <v>2.0</v>
      </c>
      <c r="AU18" s="69" t="str">
        <f t="array" ref="AU18">IFERROR(INDEX('DB(読み込みシート※編集厳禁)'!$A$3:$AH$501,MATCH($C18,'DB(読み込みシート※編集厳禁)'!$B$3:$B$501,0),MATCH(AU$16,'DB(読み込みシート※編集厳禁)'!$A$2:$AH$2,0)),"")</f>
        <v>いいえ</v>
      </c>
      <c r="AV18" s="69" t="str">
        <f t="array" ref="AV18">IFERROR(INDEX('DB(読み込みシート※編集厳禁)'!$A$3:$AH$501,MATCH($C18,'DB(読み込みシート※編集厳禁)'!$B$3:$B$501,0),MATCH(AV$16,'DB(読み込みシート※編集厳禁)'!$A$2:$AH$2,0)),"")</f>
        <v>いいえ</v>
      </c>
      <c r="AW18" s="69" t="str">
        <f t="shared" si="22"/>
        <v>1:54:429</v>
      </c>
      <c r="AX18" s="69" t="str">
        <f t="shared" si="23"/>
        <v>1:54:429</v>
      </c>
      <c r="AY18" s="69" t="str">
        <f t="shared" si="24"/>
        <v>-</v>
      </c>
      <c r="AZ18" s="69" t="str">
        <f t="shared" si="25"/>
        <v>1:53:304</v>
      </c>
      <c r="BA18" s="69" t="str">
        <f t="shared" si="26"/>
        <v>1:53:304</v>
      </c>
      <c r="BB18" s="69" t="str">
        <f t="shared" si="27"/>
        <v>-</v>
      </c>
      <c r="BC18" s="69" t="str">
        <f t="shared" si="28"/>
        <v>1:53:304</v>
      </c>
      <c r="BD18" s="70">
        <f t="shared" si="29"/>
        <v>1.160830277</v>
      </c>
      <c r="BE18" s="70">
        <f t="shared" si="30"/>
        <v>1.160830277</v>
      </c>
      <c r="BF18" s="147">
        <f t="shared" si="31"/>
        <v>114429</v>
      </c>
      <c r="BG18" s="147">
        <f t="shared" si="32"/>
        <v>113304</v>
      </c>
      <c r="BH18" s="1">
        <f t="shared" si="33"/>
        <v>113304</v>
      </c>
      <c r="BI18" s="1">
        <f t="shared" si="34"/>
        <v>11330402</v>
      </c>
      <c r="BJ18" s="1">
        <f t="shared" si="35"/>
        <v>500011330402</v>
      </c>
      <c r="BK18" s="1">
        <f t="shared" si="36"/>
        <v>113304</v>
      </c>
      <c r="BL18" s="1">
        <f t="shared" si="37"/>
        <v>28</v>
      </c>
      <c r="BM18" s="1" t="str">
        <f t="shared" si="38"/>
        <v>総合35</v>
      </c>
      <c r="BN18" s="1">
        <f t="shared" si="39"/>
        <v>8</v>
      </c>
      <c r="BO18" s="1" t="str">
        <f t="shared" si="40"/>
        <v>D8</v>
      </c>
      <c r="BP18" s="1" t="str">
        <f t="shared" si="41"/>
        <v>-</v>
      </c>
      <c r="BQ18" s="1" t="str">
        <f t="shared" si="42"/>
        <v>セパハン-</v>
      </c>
      <c r="BR18" s="1" t="str">
        <f t="shared" si="43"/>
        <v>-</v>
      </c>
      <c r="BS18" s="1" t="str">
        <f t="shared" si="44"/>
        <v>ミニ-</v>
      </c>
      <c r="BT18" s="1"/>
      <c r="BU18" s="1"/>
      <c r="BV18" s="1"/>
      <c r="BW18" s="1"/>
      <c r="BX18" s="1"/>
    </row>
    <row r="19">
      <c r="A19" s="1"/>
      <c r="B19" s="148" t="str">
        <f t="array" ref="B19">IFERROR(INDEX('DB(読み込みシート※編集厳禁)'!$A$3:$AH$501,MATCH($C19,'DB(読み込みシート※編集厳禁)'!$B$3:$B$501,0),MATCH(B$14,'DB(読み込みシート※編集厳禁)'!$A$2:$AH$2,0)),"")</f>
        <v>D</v>
      </c>
      <c r="C19" s="149">
        <v>3.0</v>
      </c>
      <c r="D19" s="150" t="str">
        <f t="array" ref="D19">IFERROR(INDEX('DB(読み込みシート※編集厳禁)'!$A$3:$AH$501,MATCH($C19,'DB(読み込みシート※編集厳禁)'!$B$3:$B$501,0),MATCH(D$14,'DB(読み込みシート※編集厳禁)'!$A$2:$AH$2,0)),"")</f>
        <v>タンビーナ</v>
      </c>
      <c r="E19" s="151" t="str">
        <f t="array" ref="E19">IFERROR(INDEX('DB(読み込みシート※編集厳禁)'!$A$3:$AH$501,MATCH($C19,'DB(読み込みシート※編集厳禁)'!$B$3:$B$501,0),MATCH(E$14,'DB(読み込みシート※編集厳禁)'!$A$2:$AH$2,0)),"")</f>
        <v>MT-03</v>
      </c>
      <c r="F19" s="132" t="str">
        <f t="array" ref="F19">IFERROR(INDEX('DB(読み込みシート※編集厳禁)'!$A$3:$AH$501,MATCH($C19,'DB(読み込みシート※編集厳禁)'!$B$3:$B$501,0),MATCH(F$14,'DB(読み込みシート※編集厳禁)'!$A$2:$AH$2,0)),"")</f>
        <v>シルバー/青</v>
      </c>
      <c r="G19" s="133" t="str">
        <f t="shared" si="8"/>
        <v>9:99:999</v>
      </c>
      <c r="H19" s="152" t="str">
        <f t="shared" si="9"/>
        <v>9:99:999</v>
      </c>
      <c r="I19" s="135">
        <v>158397.0</v>
      </c>
      <c r="J19" s="156"/>
      <c r="K19" s="137" t="s">
        <v>9</v>
      </c>
      <c r="L19" s="138" t="str">
        <f t="shared" si="10"/>
        <v>1</v>
      </c>
      <c r="M19" s="139" t="str">
        <f t="shared" si="11"/>
        <v>58</v>
      </c>
      <c r="N19" s="140" t="str">
        <f t="shared" si="12"/>
        <v>397</v>
      </c>
      <c r="O19" s="141" t="str">
        <f t="shared" si="13"/>
        <v>2:00:283</v>
      </c>
      <c r="P19" s="154" t="str">
        <f t="shared" si="14"/>
        <v>2:00:283</v>
      </c>
      <c r="Q19" s="148" t="str">
        <f t="array" ref="Q19">IFERROR(INDEX('DB(読み込みシート※編集厳禁)'!$A$3:$AH$501,MATCH($C19,'DB(読み込みシート※編集厳禁)'!$B$3:$B$501,0),MATCH(Q$14,'DB(読み込みシート※編集厳禁)'!$A$2:$AH$2,0)),"")</f>
        <v>D</v>
      </c>
      <c r="R19" s="149">
        <v>3.0</v>
      </c>
      <c r="S19" s="150" t="str">
        <f t="array" ref="S19">IFERROR(INDEX('DB(読み込みシート※編集厳禁)'!$A$3:$AH$501,MATCH($C19,'DB(読み込みシート※編集厳禁)'!$B$3:$B$501,0),MATCH(S$14,'DB(読み込みシート※編集厳禁)'!$A$2:$AH$2,0)),"")</f>
        <v>タンビーナ</v>
      </c>
      <c r="T19" s="151" t="str">
        <f t="array" ref="T19">IFERROR(INDEX('DB(読み込みシート※編集厳禁)'!$A$3:$AH$501,MATCH($C19,'DB(読み込みシート※編集厳禁)'!$B$3:$B$501,0),MATCH(T$14,'DB(読み込みシート※編集厳禁)'!$A$2:$AH$2,0)),"")</f>
        <v>MT-03</v>
      </c>
      <c r="U19" s="135">
        <v>200283.0</v>
      </c>
      <c r="V19" s="157"/>
      <c r="W19" s="137" t="s">
        <v>15</v>
      </c>
      <c r="X19" s="138" t="str">
        <f t="shared" si="15"/>
        <v>2</v>
      </c>
      <c r="Y19" s="139" t="str">
        <f t="shared" si="16"/>
        <v>00</v>
      </c>
      <c r="Z19" s="144" t="str">
        <f t="shared" si="17"/>
        <v>283</v>
      </c>
      <c r="AA19" s="1"/>
      <c r="AB19" s="41" t="s">
        <v>20</v>
      </c>
      <c r="AC19" s="41" t="s">
        <v>70</v>
      </c>
      <c r="AD19" s="41">
        <v>30000.0</v>
      </c>
      <c r="AE19" s="41">
        <v>40000.0</v>
      </c>
      <c r="AF19" s="6"/>
      <c r="AG19" s="6">
        <f t="shared" si="18"/>
        <v>90000</v>
      </c>
      <c r="AH19" s="6">
        <f t="shared" si="19"/>
        <v>92003</v>
      </c>
      <c r="AI19" s="6" t="str">
        <f t="shared" si="20"/>
        <v>D-12</v>
      </c>
      <c r="AJ19" s="6"/>
      <c r="AK19" s="6" t="str">
        <f t="shared" si="21"/>
        <v/>
      </c>
      <c r="AL19" s="6"/>
      <c r="AM19" s="6"/>
      <c r="AN19" s="6"/>
      <c r="AO19" s="6"/>
      <c r="AP19" s="6"/>
      <c r="AQ19" s="7"/>
      <c r="AR19" s="145" t="s">
        <v>71</v>
      </c>
      <c r="AS19" s="146">
        <v>3.0E11</v>
      </c>
      <c r="AT19" s="39">
        <v>3.0</v>
      </c>
      <c r="AU19" s="69" t="str">
        <f t="array" ref="AU19">IFERROR(INDEX('DB(読み込みシート※編集厳禁)'!$A$3:$AH$501,MATCH($C19,'DB(読み込みシート※編集厳禁)'!$B$3:$B$501,0),MATCH(AU$16,'DB(読み込みシート※編集厳禁)'!$A$2:$AH$2,0)),"")</f>
        <v>いいえ</v>
      </c>
      <c r="AV19" s="69" t="str">
        <f t="array" ref="AV19">IFERROR(INDEX('DB(読み込みシート※編集厳禁)'!$A$3:$AH$501,MATCH($C19,'DB(読み込みシート※編集厳禁)'!$B$3:$B$501,0),MATCH(AV$16,'DB(読み込みシート※編集厳禁)'!$A$2:$AH$2,0)),"")</f>
        <v>いいえ</v>
      </c>
      <c r="AW19" s="69" t="str">
        <f t="shared" si="22"/>
        <v>9:99:999</v>
      </c>
      <c r="AX19" s="69" t="str">
        <f t="shared" si="23"/>
        <v>9:99:999</v>
      </c>
      <c r="AY19" s="69" t="str">
        <f t="shared" si="24"/>
        <v>MC</v>
      </c>
      <c r="AZ19" s="69" t="str">
        <f t="shared" si="25"/>
        <v>2:00:283</v>
      </c>
      <c r="BA19" s="69" t="str">
        <f t="shared" si="26"/>
        <v>2:00:283</v>
      </c>
      <c r="BB19" s="69" t="str">
        <f t="shared" si="27"/>
        <v>-</v>
      </c>
      <c r="BC19" s="69" t="str">
        <f t="shared" si="28"/>
        <v>2:00:283</v>
      </c>
      <c r="BD19" s="70">
        <f t="shared" si="29"/>
        <v>1.232332029</v>
      </c>
      <c r="BE19" s="70">
        <f t="shared" si="30"/>
        <v>1.232332029</v>
      </c>
      <c r="BF19" s="1">
        <f t="shared" si="31"/>
        <v>999999</v>
      </c>
      <c r="BG19" s="147">
        <f t="shared" si="32"/>
        <v>120283</v>
      </c>
      <c r="BH19" s="1">
        <f t="shared" si="33"/>
        <v>120283</v>
      </c>
      <c r="BI19" s="1">
        <f t="shared" si="34"/>
        <v>12028303</v>
      </c>
      <c r="BJ19" s="1">
        <f t="shared" si="35"/>
        <v>500012028303</v>
      </c>
      <c r="BK19" s="1">
        <f t="shared" si="36"/>
        <v>120283</v>
      </c>
      <c r="BL19" s="1">
        <f t="shared" si="37"/>
        <v>40</v>
      </c>
      <c r="BM19" s="1" t="str">
        <f t="shared" si="38"/>
        <v>総合39</v>
      </c>
      <c r="BN19" s="1">
        <f t="shared" si="39"/>
        <v>12</v>
      </c>
      <c r="BO19" s="1" t="str">
        <f t="shared" si="40"/>
        <v>D12</v>
      </c>
      <c r="BP19" s="1" t="str">
        <f t="shared" si="41"/>
        <v>-</v>
      </c>
      <c r="BQ19" s="1" t="str">
        <f t="shared" si="42"/>
        <v>セパハン-</v>
      </c>
      <c r="BR19" s="1" t="str">
        <f t="shared" si="43"/>
        <v>-</v>
      </c>
      <c r="BS19" s="1" t="str">
        <f t="shared" si="44"/>
        <v>ミニ-</v>
      </c>
      <c r="BT19" s="1"/>
      <c r="BU19" s="1"/>
      <c r="BV19" s="1"/>
      <c r="BW19" s="1"/>
      <c r="BX19" s="1"/>
    </row>
    <row r="20">
      <c r="A20" s="1"/>
      <c r="B20" s="148" t="str">
        <f t="array" ref="B20">IFERROR(INDEX('DB(読み込みシート※編集厳禁)'!$A$3:$AH$501,MATCH($C20,'DB(読み込みシート※編集厳禁)'!$B$3:$B$501,0),MATCH(B$14,'DB(読み込みシート※編集厳禁)'!$A$2:$AH$2,0)),"")</f>
        <v>D</v>
      </c>
      <c r="C20" s="149">
        <v>4.0</v>
      </c>
      <c r="D20" s="158" t="str">
        <f t="array" ref="D20">IFERROR(INDEX('DB(読み込みシート※編集厳禁)'!$A$3:$AH$501,MATCH($C20,'DB(読み込みシート※編集厳禁)'!$B$3:$B$501,0),MATCH(D$14,'DB(読み込みシート※編集厳禁)'!$A$2:$AH$2,0)),"")</f>
        <v>フラッキーニョ</v>
      </c>
      <c r="E20" s="159" t="str">
        <f t="array" ref="E20">IFERROR(INDEX('DB(読み込みシート※編集厳禁)'!$A$3:$AH$501,MATCH($C20,'DB(読み込みシート※編集厳禁)'!$B$3:$B$501,0),MATCH(E$14,'DB(読み込みシート※編集厳禁)'!$A$2:$AH$2,0)),"")</f>
        <v>Ninja650</v>
      </c>
      <c r="F20" s="160" t="str">
        <f t="array" ref="F20">IFERROR(INDEX('DB(読み込みシート※編集厳禁)'!$A$3:$AH$501,MATCH($C20,'DB(読み込みシート※編集厳禁)'!$B$3:$B$501,0),MATCH(F$14,'DB(読み込みシート※編集厳禁)'!$A$2:$AH$2,0)),"")</f>
        <v>白</v>
      </c>
      <c r="G20" s="133" t="str">
        <f t="shared" si="8"/>
        <v>1:58:659</v>
      </c>
      <c r="H20" s="152" t="str">
        <f t="shared" si="9"/>
        <v>1:58:659</v>
      </c>
      <c r="I20" s="135">
        <v>158659.0</v>
      </c>
      <c r="J20" s="155"/>
      <c r="K20" s="137" t="s">
        <v>15</v>
      </c>
      <c r="L20" s="138" t="str">
        <f t="shared" si="10"/>
        <v>1</v>
      </c>
      <c r="M20" s="139" t="str">
        <f t="shared" si="11"/>
        <v>58</v>
      </c>
      <c r="N20" s="140" t="str">
        <f t="shared" si="12"/>
        <v>659</v>
      </c>
      <c r="O20" s="141" t="str">
        <f t="shared" si="13"/>
        <v>9:99:999</v>
      </c>
      <c r="P20" s="154" t="str">
        <f t="shared" si="14"/>
        <v>9:99:999</v>
      </c>
      <c r="Q20" s="148" t="str">
        <f t="array" ref="Q20">IFERROR(INDEX('DB(読み込みシート※編集厳禁)'!$A$3:$AH$501,MATCH($C20,'DB(読み込みシート※編集厳禁)'!$B$3:$B$501,0),MATCH(Q$14,'DB(読み込みシート※編集厳禁)'!$A$2:$AH$2,0)),"")</f>
        <v>D</v>
      </c>
      <c r="R20" s="149">
        <v>4.0</v>
      </c>
      <c r="S20" s="158" t="str">
        <f t="array" ref="S20">IFERROR(INDEX('DB(読み込みシート※編集厳禁)'!$A$3:$AH$501,MATCH($C20,'DB(読み込みシート※編集厳禁)'!$B$3:$B$501,0),MATCH(S$14,'DB(読み込みシート※編集厳禁)'!$A$2:$AH$2,0)),"")</f>
        <v>フラッキーニョ</v>
      </c>
      <c r="T20" s="159" t="str">
        <f t="array" ref="T20">IFERROR(INDEX('DB(読み込みシート※編集厳禁)'!$A$3:$AH$501,MATCH($C20,'DB(読み込みシート※編集厳禁)'!$B$3:$B$501,0),MATCH(T$14,'DB(読み込みシート※編集厳禁)'!$A$2:$AH$2,0)),"")</f>
        <v>Ninja650</v>
      </c>
      <c r="U20" s="135">
        <v>155781.0</v>
      </c>
      <c r="V20" s="156"/>
      <c r="W20" s="137" t="s">
        <v>9</v>
      </c>
      <c r="X20" s="138" t="str">
        <f t="shared" si="15"/>
        <v>1</v>
      </c>
      <c r="Y20" s="139" t="str">
        <f t="shared" si="16"/>
        <v>55</v>
      </c>
      <c r="Z20" s="144" t="str">
        <f t="shared" si="17"/>
        <v>781</v>
      </c>
      <c r="AA20" s="1"/>
      <c r="AB20" s="41" t="s">
        <v>20</v>
      </c>
      <c r="AC20" s="41" t="s">
        <v>72</v>
      </c>
      <c r="AD20" s="41">
        <v>40000.0</v>
      </c>
      <c r="AE20" s="41">
        <v>50000.0</v>
      </c>
      <c r="AF20" s="6"/>
      <c r="AG20" s="6">
        <f t="shared" si="18"/>
        <v>90000</v>
      </c>
      <c r="AH20" s="6">
        <f t="shared" si="19"/>
        <v>92004</v>
      </c>
      <c r="AI20" s="6" t="str">
        <f t="shared" si="20"/>
        <v>D-11</v>
      </c>
      <c r="AJ20" s="6"/>
      <c r="AK20" s="6" t="str">
        <f t="shared" si="21"/>
        <v/>
      </c>
      <c r="AL20" s="6"/>
      <c r="AM20" s="6"/>
      <c r="AN20" s="6"/>
      <c r="AO20" s="6"/>
      <c r="AP20" s="6"/>
      <c r="AQ20" s="7"/>
      <c r="AR20" s="145" t="s">
        <v>73</v>
      </c>
      <c r="AS20" s="146">
        <v>4.0E11</v>
      </c>
      <c r="AT20" s="39">
        <v>4.0</v>
      </c>
      <c r="AU20" s="69" t="str">
        <f t="array" ref="AU20">IFERROR(INDEX('DB(読み込みシート※編集厳禁)'!$A$3:$AH$501,MATCH($C20,'DB(読み込みシート※編集厳禁)'!$B$3:$B$501,0),MATCH(AU$16,'DB(読み込みシート※編集厳禁)'!$A$2:$AH$2,0)),"")</f>
        <v>いいえ</v>
      </c>
      <c r="AV20" s="69" t="str">
        <f t="array" ref="AV20">IFERROR(INDEX('DB(読み込みシート※編集厳禁)'!$A$3:$AH$501,MATCH($C20,'DB(読み込みシート※編集厳禁)'!$B$3:$B$501,0),MATCH(AV$16,'DB(読み込みシート※編集厳禁)'!$A$2:$AH$2,0)),"")</f>
        <v>いいえ</v>
      </c>
      <c r="AW20" s="69" t="str">
        <f t="shared" si="22"/>
        <v>1:58:659</v>
      </c>
      <c r="AX20" s="69" t="str">
        <f t="shared" si="23"/>
        <v>1:58:659</v>
      </c>
      <c r="AY20" s="69" t="str">
        <f t="shared" si="24"/>
        <v>-</v>
      </c>
      <c r="AZ20" s="69" t="str">
        <f t="shared" si="25"/>
        <v>9:99:999</v>
      </c>
      <c r="BA20" s="69" t="str">
        <f t="shared" si="26"/>
        <v>9:99:999</v>
      </c>
      <c r="BB20" s="69" t="str">
        <f t="shared" si="27"/>
        <v>MC</v>
      </c>
      <c r="BC20" s="69" t="str">
        <f t="shared" si="28"/>
        <v>1:58:659</v>
      </c>
      <c r="BD20" s="70">
        <f t="shared" si="29"/>
        <v>1.215693707</v>
      </c>
      <c r="BE20" s="70">
        <f t="shared" si="30"/>
        <v>1.215693707</v>
      </c>
      <c r="BF20" s="147">
        <f t="shared" si="31"/>
        <v>118659</v>
      </c>
      <c r="BG20" s="1">
        <f t="shared" si="32"/>
        <v>999999</v>
      </c>
      <c r="BH20" s="1">
        <f t="shared" si="33"/>
        <v>118659</v>
      </c>
      <c r="BI20" s="1">
        <f t="shared" si="34"/>
        <v>11865904</v>
      </c>
      <c r="BJ20" s="1">
        <f t="shared" si="35"/>
        <v>500011865904</v>
      </c>
      <c r="BK20" s="1">
        <f t="shared" si="36"/>
        <v>118659</v>
      </c>
      <c r="BL20" s="1">
        <f t="shared" si="37"/>
        <v>38</v>
      </c>
      <c r="BM20" s="1" t="str">
        <f t="shared" si="38"/>
        <v>総合38</v>
      </c>
      <c r="BN20" s="1">
        <f t="shared" si="39"/>
        <v>11</v>
      </c>
      <c r="BO20" s="1" t="str">
        <f t="shared" si="40"/>
        <v>D11</v>
      </c>
      <c r="BP20" s="1" t="str">
        <f t="shared" si="41"/>
        <v>-</v>
      </c>
      <c r="BQ20" s="1" t="str">
        <f t="shared" si="42"/>
        <v>セパハン-</v>
      </c>
      <c r="BR20" s="1" t="str">
        <f t="shared" si="43"/>
        <v>-</v>
      </c>
      <c r="BS20" s="1" t="str">
        <f t="shared" si="44"/>
        <v>ミニ-</v>
      </c>
      <c r="BT20" s="1"/>
      <c r="BU20" s="1"/>
      <c r="BV20" s="1"/>
      <c r="BW20" s="1"/>
      <c r="BX20" s="1"/>
    </row>
    <row r="21">
      <c r="A21" s="1"/>
      <c r="B21" s="148" t="str">
        <f t="array" ref="B21">IFERROR(INDEX('DB(読み込みシート※編集厳禁)'!$A$3:$AH$501,MATCH($C21,'DB(読み込みシート※編集厳禁)'!$B$3:$B$501,0),MATCH(B$14,'DB(読み込みシート※編集厳禁)'!$A$2:$AH$2,0)),"")</f>
        <v>D</v>
      </c>
      <c r="C21" s="149">
        <v>5.0</v>
      </c>
      <c r="D21" s="150" t="str">
        <f t="array" ref="D21">IFERROR(INDEX('DB(読み込みシート※編集厳禁)'!$A$3:$AH$501,MATCH($C21,'DB(読み込みシート※編集厳禁)'!$B$3:$B$501,0),MATCH(D$14,'DB(読み込みシート※編集厳禁)'!$A$2:$AH$2,0)),"")</f>
        <v>ホッシャ</v>
      </c>
      <c r="E21" s="151" t="str">
        <f t="array" ref="E21">IFERROR(INDEX('DB(読み込みシート※編集厳禁)'!$A$3:$AH$501,MATCH($C21,'DB(読み込みシート※編集厳禁)'!$B$3:$B$501,0),MATCH(E$14,'DB(読み込みシート※編集厳禁)'!$A$2:$AH$2,0)),"")</f>
        <v>VTR</v>
      </c>
      <c r="F21" s="132" t="str">
        <f t="array" ref="F21">IFERROR(INDEX('DB(読み込みシート※編集厳禁)'!$A$3:$AH$501,MATCH($C21,'DB(読み込みシート※編集厳禁)'!$B$3:$B$501,0),MATCH(F$14,'DB(読み込みシート※編集厳禁)'!$A$2:$AH$2,0)),"")</f>
        <v>白</v>
      </c>
      <c r="G21" s="133" t="str">
        <f t="shared" si="8"/>
        <v>1:54:609</v>
      </c>
      <c r="H21" s="152" t="str">
        <f t="shared" si="9"/>
        <v>1:54:609</v>
      </c>
      <c r="I21" s="135">
        <v>154609.0</v>
      </c>
      <c r="J21" s="156"/>
      <c r="K21" s="137" t="s">
        <v>15</v>
      </c>
      <c r="L21" s="138" t="str">
        <f t="shared" si="10"/>
        <v>1</v>
      </c>
      <c r="M21" s="139" t="str">
        <f t="shared" si="11"/>
        <v>54</v>
      </c>
      <c r="N21" s="140" t="str">
        <f t="shared" si="12"/>
        <v>609</v>
      </c>
      <c r="O21" s="141" t="str">
        <f t="shared" si="13"/>
        <v>1:50:535</v>
      </c>
      <c r="P21" s="154" t="str">
        <f t="shared" si="14"/>
        <v>1:50:535</v>
      </c>
      <c r="Q21" s="148" t="str">
        <f t="array" ref="Q21">IFERROR(INDEX('DB(読み込みシート※編集厳禁)'!$A$3:$AH$501,MATCH($C21,'DB(読み込みシート※編集厳禁)'!$B$3:$B$501,0),MATCH(Q$14,'DB(読み込みシート※編集厳禁)'!$A$2:$AH$2,0)),"")</f>
        <v>D</v>
      </c>
      <c r="R21" s="149">
        <v>5.0</v>
      </c>
      <c r="S21" s="150" t="str">
        <f t="array" ref="S21">IFERROR(INDEX('DB(読み込みシート※編集厳禁)'!$A$3:$AH$501,MATCH($C21,'DB(読み込みシート※編集厳禁)'!$B$3:$B$501,0),MATCH(S$14,'DB(読み込みシート※編集厳禁)'!$A$2:$AH$2,0)),"")</f>
        <v>ホッシャ</v>
      </c>
      <c r="T21" s="151" t="str">
        <f t="array" ref="T21">IFERROR(INDEX('DB(読み込みシート※編集厳禁)'!$A$3:$AH$501,MATCH($C21,'DB(読み込みシート※編集厳禁)'!$B$3:$B$501,0),MATCH(T$14,'DB(読み込みシート※編集厳禁)'!$A$2:$AH$2,0)),"")</f>
        <v>VTR</v>
      </c>
      <c r="U21" s="135">
        <v>150535.0</v>
      </c>
      <c r="V21" s="155"/>
      <c r="W21" s="137" t="s">
        <v>15</v>
      </c>
      <c r="X21" s="138" t="str">
        <f t="shared" si="15"/>
        <v>1</v>
      </c>
      <c r="Y21" s="139" t="str">
        <f t="shared" si="16"/>
        <v>50</v>
      </c>
      <c r="Z21" s="144" t="str">
        <f t="shared" si="17"/>
        <v>535</v>
      </c>
      <c r="AA21" s="1"/>
      <c r="AB21" s="41" t="s">
        <v>20</v>
      </c>
      <c r="AC21" s="41" t="s">
        <v>73</v>
      </c>
      <c r="AD21" s="41">
        <v>50000.0</v>
      </c>
      <c r="AE21" s="41">
        <v>60000.0</v>
      </c>
      <c r="AF21" s="6"/>
      <c r="AG21" s="6">
        <f t="shared" si="18"/>
        <v>90000</v>
      </c>
      <c r="AH21" s="6">
        <f t="shared" si="19"/>
        <v>92005</v>
      </c>
      <c r="AI21" s="6" t="str">
        <f t="shared" si="20"/>
        <v>D-4</v>
      </c>
      <c r="AJ21" s="6"/>
      <c r="AK21" s="6" t="str">
        <f t="shared" si="21"/>
        <v/>
      </c>
      <c r="AL21" s="6"/>
      <c r="AM21" s="6"/>
      <c r="AN21" s="6"/>
      <c r="AO21" s="6"/>
      <c r="AP21" s="6"/>
      <c r="AQ21" s="7"/>
      <c r="AR21" s="145" t="s">
        <v>66</v>
      </c>
      <c r="AS21" s="146">
        <v>5.0E11</v>
      </c>
      <c r="AT21" s="39">
        <v>5.0</v>
      </c>
      <c r="AU21" s="69" t="str">
        <f t="array" ref="AU21">IFERROR(INDEX('DB(読み込みシート※編集厳禁)'!$A$3:$AH$501,MATCH($C21,'DB(読み込みシート※編集厳禁)'!$B$3:$B$501,0),MATCH(AU$16,'DB(読み込みシート※編集厳禁)'!$A$2:$AH$2,0)),"")</f>
        <v>いいえ</v>
      </c>
      <c r="AV21" s="69" t="str">
        <f t="array" ref="AV21">IFERROR(INDEX('DB(読み込みシート※編集厳禁)'!$A$3:$AH$501,MATCH($C21,'DB(読み込みシート※編集厳禁)'!$B$3:$B$501,0),MATCH(AV$16,'DB(読み込みシート※編集厳禁)'!$A$2:$AH$2,0)),"")</f>
        <v>いいえ</v>
      </c>
      <c r="AW21" s="69" t="str">
        <f t="shared" si="22"/>
        <v>1:54:609</v>
      </c>
      <c r="AX21" s="69" t="str">
        <f t="shared" si="23"/>
        <v>1:54:609</v>
      </c>
      <c r="AY21" s="69" t="str">
        <f t="shared" si="24"/>
        <v>-</v>
      </c>
      <c r="AZ21" s="69" t="str">
        <f t="shared" si="25"/>
        <v>1:50:535</v>
      </c>
      <c r="BA21" s="69" t="str">
        <f t="shared" si="26"/>
        <v>1:50:535</v>
      </c>
      <c r="BB21" s="69" t="str">
        <f t="shared" si="27"/>
        <v>-</v>
      </c>
      <c r="BC21" s="69" t="str">
        <f t="shared" si="28"/>
        <v>1:50:535</v>
      </c>
      <c r="BD21" s="70">
        <f t="shared" si="29"/>
        <v>1.132461119</v>
      </c>
      <c r="BE21" s="70">
        <f t="shared" si="30"/>
        <v>1.132461119</v>
      </c>
      <c r="BF21" s="147">
        <f t="shared" si="31"/>
        <v>114609</v>
      </c>
      <c r="BG21" s="147">
        <f t="shared" si="32"/>
        <v>110535</v>
      </c>
      <c r="BH21" s="1">
        <f t="shared" si="33"/>
        <v>110535</v>
      </c>
      <c r="BI21" s="1">
        <f t="shared" si="34"/>
        <v>11053505</v>
      </c>
      <c r="BJ21" s="1">
        <f t="shared" si="35"/>
        <v>500011053505</v>
      </c>
      <c r="BK21" s="1">
        <f t="shared" si="36"/>
        <v>110535</v>
      </c>
      <c r="BL21" s="1">
        <f t="shared" si="37"/>
        <v>21</v>
      </c>
      <c r="BM21" s="1" t="str">
        <f t="shared" si="38"/>
        <v>総合31</v>
      </c>
      <c r="BN21" s="1">
        <f t="shared" si="39"/>
        <v>4</v>
      </c>
      <c r="BO21" s="1" t="str">
        <f t="shared" si="40"/>
        <v>D4</v>
      </c>
      <c r="BP21" s="1" t="str">
        <f t="shared" si="41"/>
        <v>-</v>
      </c>
      <c r="BQ21" s="1" t="str">
        <f t="shared" si="42"/>
        <v>セパハン-</v>
      </c>
      <c r="BR21" s="1" t="str">
        <f t="shared" si="43"/>
        <v>-</v>
      </c>
      <c r="BS21" s="1" t="str">
        <f t="shared" si="44"/>
        <v>ミニ-</v>
      </c>
      <c r="BT21" s="1"/>
      <c r="BU21" s="1"/>
      <c r="BV21" s="1"/>
      <c r="BW21" s="1"/>
      <c r="BX21" s="1"/>
    </row>
    <row r="22">
      <c r="A22" s="1"/>
      <c r="B22" s="148" t="str">
        <f t="array" ref="B22">IFERROR(INDEX('DB(読み込みシート※編集厳禁)'!$A$3:$AH$501,MATCH($C22,'DB(読み込みシート※編集厳禁)'!$B$3:$B$501,0),MATCH(B$14,'DB(読み込みシート※編集厳禁)'!$A$2:$AH$2,0)),"")</f>
        <v>D</v>
      </c>
      <c r="C22" s="149">
        <v>6.0</v>
      </c>
      <c r="D22" s="158" t="str">
        <f t="array" ref="D22">IFERROR(INDEX('DB(読み込みシート※編集厳禁)'!$A$3:$AH$501,MATCH($C22,'DB(読み込みシート※編集厳禁)'!$B$3:$B$501,0),MATCH(D$14,'DB(読み込みシート※編集厳禁)'!$A$2:$AH$2,0)),"")</f>
        <v>ひさぽん</v>
      </c>
      <c r="E22" s="159" t="str">
        <f t="array" ref="E22">IFERROR(INDEX('DB(読み込みシート※編集厳禁)'!$A$3:$AH$501,MATCH($C22,'DB(読み込みシート※編集厳禁)'!$B$3:$B$501,0),MATCH(E$14,'DB(読み込みシート※編集厳禁)'!$A$2:$AH$2,0)),"")</f>
        <v>NSR50改</v>
      </c>
      <c r="F22" s="160" t="str">
        <f t="array" ref="F22">IFERROR(INDEX('DB(読み込みシート※編集厳禁)'!$A$3:$AH$501,MATCH($C22,'DB(読み込みシート※編集厳禁)'!$B$3:$B$501,0),MATCH(F$14,'DB(読み込みシート※編集厳禁)'!$A$2:$AH$2,0)),"")</f>
        <v>ブルーグレイ</v>
      </c>
      <c r="G22" s="133" t="str">
        <f t="shared" si="8"/>
        <v>9:99:999</v>
      </c>
      <c r="H22" s="152" t="str">
        <f t="shared" si="9"/>
        <v>9:99:999</v>
      </c>
      <c r="I22" s="135">
        <v>201824.0</v>
      </c>
      <c r="J22" s="156"/>
      <c r="K22" s="137" t="s">
        <v>9</v>
      </c>
      <c r="L22" s="138" t="str">
        <f t="shared" si="10"/>
        <v>2</v>
      </c>
      <c r="M22" s="139" t="str">
        <f t="shared" si="11"/>
        <v>01</v>
      </c>
      <c r="N22" s="140" t="str">
        <f t="shared" si="12"/>
        <v>824</v>
      </c>
      <c r="O22" s="141" t="str">
        <f t="shared" si="13"/>
        <v>1:52:505</v>
      </c>
      <c r="P22" s="154" t="str">
        <f t="shared" si="14"/>
        <v>1:52:505</v>
      </c>
      <c r="Q22" s="148" t="str">
        <f t="array" ref="Q22">IFERROR(INDEX('DB(読み込みシート※編集厳禁)'!$A$3:$AH$501,MATCH($C22,'DB(読み込みシート※編集厳禁)'!$B$3:$B$501,0),MATCH(Q$14,'DB(読み込みシート※編集厳禁)'!$A$2:$AH$2,0)),"")</f>
        <v>D</v>
      </c>
      <c r="R22" s="149">
        <v>6.0</v>
      </c>
      <c r="S22" s="158" t="str">
        <f t="array" ref="S22">IFERROR(INDEX('DB(読み込みシート※編集厳禁)'!$A$3:$AH$501,MATCH($C22,'DB(読み込みシート※編集厳禁)'!$B$3:$B$501,0),MATCH(S$14,'DB(読み込みシート※編集厳禁)'!$A$2:$AH$2,0)),"")</f>
        <v>ひさぽん</v>
      </c>
      <c r="T22" s="159" t="str">
        <f t="array" ref="T22">IFERROR(INDEX('DB(読み込みシート※編集厳禁)'!$A$3:$AH$501,MATCH($C22,'DB(読み込みシート※編集厳禁)'!$B$3:$B$501,0),MATCH(T$14,'DB(読み込みシート※編集厳禁)'!$A$2:$AH$2,0)),"")</f>
        <v>NSR50改</v>
      </c>
      <c r="U22" s="135">
        <v>152505.0</v>
      </c>
      <c r="V22" s="156"/>
      <c r="W22" s="137" t="s">
        <v>15</v>
      </c>
      <c r="X22" s="138" t="str">
        <f t="shared" si="15"/>
        <v>1</v>
      </c>
      <c r="Y22" s="139" t="str">
        <f t="shared" si="16"/>
        <v>52</v>
      </c>
      <c r="Z22" s="144" t="str">
        <f t="shared" si="17"/>
        <v>505</v>
      </c>
      <c r="AA22" s="1"/>
      <c r="AB22" s="41" t="s">
        <v>20</v>
      </c>
      <c r="AC22" s="41" t="s">
        <v>71</v>
      </c>
      <c r="AD22" s="41">
        <v>60000.0</v>
      </c>
      <c r="AE22" s="41">
        <v>70000.0</v>
      </c>
      <c r="AF22" s="6"/>
      <c r="AG22" s="6">
        <f t="shared" si="18"/>
        <v>90000</v>
      </c>
      <c r="AH22" s="6">
        <f t="shared" si="19"/>
        <v>92006</v>
      </c>
      <c r="AI22" s="6" t="str">
        <f t="shared" si="20"/>
        <v>D-7</v>
      </c>
      <c r="AJ22" s="6"/>
      <c r="AK22" s="6" t="str">
        <f t="shared" si="21"/>
        <v/>
      </c>
      <c r="AL22" s="6"/>
      <c r="AM22" s="6"/>
      <c r="AN22" s="6"/>
      <c r="AO22" s="6"/>
      <c r="AP22" s="6"/>
      <c r="AQ22" s="7"/>
      <c r="AR22" s="145" t="s">
        <v>68</v>
      </c>
      <c r="AS22" s="146">
        <v>6.0E11</v>
      </c>
      <c r="AT22" s="39">
        <v>6.0</v>
      </c>
      <c r="AU22" s="69" t="str">
        <f t="array" ref="AU22">IFERROR(INDEX('DB(読み込みシート※編集厳禁)'!$A$3:$AH$501,MATCH($C22,'DB(読み込みシート※編集厳禁)'!$B$3:$B$501,0),MATCH(AU$16,'DB(読み込みシート※編集厳禁)'!$A$2:$AH$2,0)),"")</f>
        <v>いいえ</v>
      </c>
      <c r="AV22" s="69" t="str">
        <f t="array" ref="AV22">IFERROR(INDEX('DB(読み込みシート※編集厳禁)'!$A$3:$AH$501,MATCH($C22,'DB(読み込みシート※編集厳禁)'!$B$3:$B$501,0),MATCH(AV$16,'DB(読み込みシート※編集厳禁)'!$A$2:$AH$2,0)),"")</f>
        <v>いいえ</v>
      </c>
      <c r="AW22" s="69" t="str">
        <f t="shared" si="22"/>
        <v>9:99:999</v>
      </c>
      <c r="AX22" s="69" t="str">
        <f t="shared" si="23"/>
        <v>9:99:999</v>
      </c>
      <c r="AY22" s="69" t="str">
        <f t="shared" si="24"/>
        <v>MC</v>
      </c>
      <c r="AZ22" s="69" t="str">
        <f t="shared" si="25"/>
        <v>1:52:505</v>
      </c>
      <c r="BA22" s="69" t="str">
        <f t="shared" si="26"/>
        <v>1:52:505</v>
      </c>
      <c r="BB22" s="69" t="str">
        <f t="shared" si="27"/>
        <v>-</v>
      </c>
      <c r="BC22" s="69" t="str">
        <f t="shared" si="28"/>
        <v>1:52:505</v>
      </c>
      <c r="BD22" s="70">
        <f t="shared" si="29"/>
        <v>1.152644305</v>
      </c>
      <c r="BE22" s="70">
        <f t="shared" si="30"/>
        <v>1.152644305</v>
      </c>
      <c r="BF22" s="1">
        <f t="shared" si="31"/>
        <v>999999</v>
      </c>
      <c r="BG22" s="147">
        <f t="shared" si="32"/>
        <v>112505</v>
      </c>
      <c r="BH22" s="1">
        <f t="shared" si="33"/>
        <v>112505</v>
      </c>
      <c r="BI22" s="1">
        <f t="shared" si="34"/>
        <v>11250506</v>
      </c>
      <c r="BJ22" s="1">
        <f t="shared" si="35"/>
        <v>500011250506</v>
      </c>
      <c r="BK22" s="1">
        <f t="shared" si="36"/>
        <v>112505</v>
      </c>
      <c r="BL22" s="1">
        <f t="shared" si="37"/>
        <v>26</v>
      </c>
      <c r="BM22" s="1" t="str">
        <f t="shared" si="38"/>
        <v>総合34</v>
      </c>
      <c r="BN22" s="1">
        <f t="shared" si="39"/>
        <v>7</v>
      </c>
      <c r="BO22" s="1" t="str">
        <f t="shared" si="40"/>
        <v>D7</v>
      </c>
      <c r="BP22" s="1" t="str">
        <f t="shared" si="41"/>
        <v>-</v>
      </c>
      <c r="BQ22" s="1" t="str">
        <f t="shared" si="42"/>
        <v>セパハン-</v>
      </c>
      <c r="BR22" s="1" t="str">
        <f t="shared" si="43"/>
        <v>-</v>
      </c>
      <c r="BS22" s="1" t="str">
        <f t="shared" si="44"/>
        <v>ミニ-</v>
      </c>
      <c r="BT22" s="1"/>
      <c r="BU22" s="1"/>
      <c r="BV22" s="1"/>
      <c r="BW22" s="1"/>
      <c r="BX22" s="1"/>
    </row>
    <row r="23">
      <c r="A23" s="1"/>
      <c r="B23" s="148" t="str">
        <f t="array" ref="B23">IFERROR(INDEX('DB(読み込みシート※編集厳禁)'!$A$3:$AH$501,MATCH($C23,'DB(読み込みシート※編集厳禁)'!$B$3:$B$501,0),MATCH(B$14,'DB(読み込みシート※編集厳禁)'!$A$2:$AH$2,0)),"")</f>
        <v>D</v>
      </c>
      <c r="C23" s="149">
        <v>7.0</v>
      </c>
      <c r="D23" s="150" t="str">
        <f t="array" ref="D23">IFERROR(INDEX('DB(読み込みシート※編集厳禁)'!$A$3:$AH$501,MATCH($C23,'DB(読み込みシート※編集厳禁)'!$B$3:$B$501,0),MATCH(D$14,'DB(読み込みシート※編集厳禁)'!$A$2:$AH$2,0)),"")</f>
        <v>ふじもん</v>
      </c>
      <c r="E23" s="151" t="str">
        <f t="array" ref="E23">IFERROR(INDEX('DB(読み込みシート※編集厳禁)'!$A$3:$AH$501,MATCH($C23,'DB(読み込みシート※編集厳禁)'!$B$3:$B$501,0),MATCH(E$14,'DB(読み込みシート※編集厳禁)'!$A$2:$AH$2,0)),"")</f>
        <v>MR150</v>
      </c>
      <c r="F23" s="132" t="str">
        <f t="array" ref="F23">IFERROR(INDEX('DB(読み込みシート※編集厳禁)'!$A$3:$AH$501,MATCH($C23,'DB(読み込みシート※編集厳禁)'!$B$3:$B$501,0),MATCH(F$14,'DB(読み込みシート※編集厳禁)'!$A$2:$AH$2,0)),"")</f>
        <v>白</v>
      </c>
      <c r="G23" s="133" t="str">
        <f t="shared" si="8"/>
        <v>1:50:557</v>
      </c>
      <c r="H23" s="152" t="str">
        <f t="shared" si="9"/>
        <v>1:50:557</v>
      </c>
      <c r="I23" s="135">
        <v>150557.0</v>
      </c>
      <c r="J23" s="155"/>
      <c r="K23" s="137" t="s">
        <v>15</v>
      </c>
      <c r="L23" s="138" t="str">
        <f t="shared" si="10"/>
        <v>1</v>
      </c>
      <c r="M23" s="139" t="str">
        <f t="shared" si="11"/>
        <v>50</v>
      </c>
      <c r="N23" s="140" t="str">
        <f t="shared" si="12"/>
        <v>557</v>
      </c>
      <c r="O23" s="141" t="str">
        <f t="shared" si="13"/>
        <v>1:48:489</v>
      </c>
      <c r="P23" s="154" t="str">
        <f t="shared" si="14"/>
        <v>1:48:489</v>
      </c>
      <c r="Q23" s="148" t="str">
        <f t="array" ref="Q23">IFERROR(INDEX('DB(読み込みシート※編集厳禁)'!$A$3:$AH$501,MATCH($C23,'DB(読み込みシート※編集厳禁)'!$B$3:$B$501,0),MATCH(Q$14,'DB(読み込みシート※編集厳禁)'!$A$2:$AH$2,0)),"")</f>
        <v>D</v>
      </c>
      <c r="R23" s="149">
        <v>7.0</v>
      </c>
      <c r="S23" s="150" t="str">
        <f t="array" ref="S23">IFERROR(INDEX('DB(読み込みシート※編集厳禁)'!$A$3:$AH$501,MATCH($C23,'DB(読み込みシート※編集厳禁)'!$B$3:$B$501,0),MATCH(S$14,'DB(読み込みシート※編集厳禁)'!$A$2:$AH$2,0)),"")</f>
        <v>ふじもん</v>
      </c>
      <c r="T23" s="151" t="str">
        <f t="array" ref="T23">IFERROR(INDEX('DB(読み込みシート※編集厳禁)'!$A$3:$AH$501,MATCH($C23,'DB(読み込みシート※編集厳禁)'!$B$3:$B$501,0),MATCH(T$14,'DB(読み込みシート※編集厳禁)'!$A$2:$AH$2,0)),"")</f>
        <v>MR150</v>
      </c>
      <c r="U23" s="135">
        <v>148489.0</v>
      </c>
      <c r="V23" s="156"/>
      <c r="W23" s="137" t="s">
        <v>15</v>
      </c>
      <c r="X23" s="138" t="str">
        <f t="shared" si="15"/>
        <v>1</v>
      </c>
      <c r="Y23" s="139" t="str">
        <f t="shared" si="16"/>
        <v>48</v>
      </c>
      <c r="Z23" s="144" t="str">
        <f t="shared" si="17"/>
        <v>489</v>
      </c>
      <c r="AA23" s="1"/>
      <c r="AB23" s="41" t="s">
        <v>20</v>
      </c>
      <c r="AC23" s="41" t="s">
        <v>69</v>
      </c>
      <c r="AD23" s="41">
        <v>70000.0</v>
      </c>
      <c r="AE23" s="41">
        <v>80000.0</v>
      </c>
      <c r="AF23" s="6"/>
      <c r="AG23" s="6">
        <f t="shared" si="18"/>
        <v>90000</v>
      </c>
      <c r="AH23" s="6">
        <f t="shared" si="19"/>
        <v>92007</v>
      </c>
      <c r="AI23" s="6" t="str">
        <f t="shared" si="20"/>
        <v>D-2</v>
      </c>
      <c r="AJ23" s="6"/>
      <c r="AK23" s="6" t="str">
        <f t="shared" si="21"/>
        <v/>
      </c>
      <c r="AL23" s="6"/>
      <c r="AM23" s="6"/>
      <c r="AN23" s="6"/>
      <c r="AO23" s="6"/>
      <c r="AP23" s="6"/>
      <c r="AQ23" s="7"/>
      <c r="AR23" s="145" t="s">
        <v>70</v>
      </c>
      <c r="AS23" s="146">
        <v>7.0E11</v>
      </c>
      <c r="AT23" s="39">
        <v>7.0</v>
      </c>
      <c r="AU23" s="69" t="str">
        <f t="array" ref="AU23">IFERROR(INDEX('DB(読み込みシート※編集厳禁)'!$A$3:$AH$501,MATCH($C23,'DB(読み込みシート※編集厳禁)'!$B$3:$B$501,0),MATCH(AU$16,'DB(読み込みシート※編集厳禁)'!$A$2:$AH$2,0)),"")</f>
        <v>はい</v>
      </c>
      <c r="AV23" s="69" t="str">
        <f t="array" ref="AV23">IFERROR(INDEX('DB(読み込みシート※編集厳禁)'!$A$3:$AH$501,MATCH($C23,'DB(読み込みシート※編集厳禁)'!$B$3:$B$501,0),MATCH(AV$16,'DB(読み込みシート※編集厳禁)'!$A$2:$AH$2,0)),"")</f>
        <v>いいえ</v>
      </c>
      <c r="AW23" s="69" t="str">
        <f t="shared" si="22"/>
        <v>1:50:557</v>
      </c>
      <c r="AX23" s="69" t="str">
        <f t="shared" si="23"/>
        <v>1:50:557</v>
      </c>
      <c r="AY23" s="69" t="str">
        <f t="shared" si="24"/>
        <v>-</v>
      </c>
      <c r="AZ23" s="69" t="str">
        <f t="shared" si="25"/>
        <v>1:48:489</v>
      </c>
      <c r="BA23" s="69" t="str">
        <f t="shared" si="26"/>
        <v>1:48:489</v>
      </c>
      <c r="BB23" s="69" t="str">
        <f t="shared" si="27"/>
        <v>-</v>
      </c>
      <c r="BC23" s="69" t="str">
        <f t="shared" si="28"/>
        <v>1:48:489</v>
      </c>
      <c r="BD23" s="70">
        <f t="shared" si="29"/>
        <v>1.111499293</v>
      </c>
      <c r="BE23" s="70">
        <f t="shared" si="30"/>
        <v>1.111499293</v>
      </c>
      <c r="BF23" s="147">
        <f t="shared" si="31"/>
        <v>110557</v>
      </c>
      <c r="BG23" s="147">
        <f t="shared" si="32"/>
        <v>108489</v>
      </c>
      <c r="BH23" s="1">
        <f t="shared" si="33"/>
        <v>108489</v>
      </c>
      <c r="BI23" s="1">
        <f t="shared" si="34"/>
        <v>10848907</v>
      </c>
      <c r="BJ23" s="1">
        <f t="shared" si="35"/>
        <v>500010848907</v>
      </c>
      <c r="BK23" s="1">
        <f t="shared" si="36"/>
        <v>108489</v>
      </c>
      <c r="BL23" s="1">
        <f t="shared" si="37"/>
        <v>15</v>
      </c>
      <c r="BM23" s="1" t="str">
        <f t="shared" si="38"/>
        <v>総合29</v>
      </c>
      <c r="BN23" s="1">
        <f t="shared" si="39"/>
        <v>2</v>
      </c>
      <c r="BO23" s="1" t="str">
        <f t="shared" si="40"/>
        <v>D2</v>
      </c>
      <c r="BP23" s="1">
        <f t="shared" si="41"/>
        <v>1</v>
      </c>
      <c r="BQ23" s="1" t="str">
        <f t="shared" si="42"/>
        <v>セパハン1</v>
      </c>
      <c r="BR23" s="1" t="str">
        <f t="shared" si="43"/>
        <v>-</v>
      </c>
      <c r="BS23" s="1" t="str">
        <f t="shared" si="44"/>
        <v>ミニ-</v>
      </c>
      <c r="BT23" s="1"/>
      <c r="BU23" s="1"/>
      <c r="BV23" s="1"/>
      <c r="BW23" s="1"/>
      <c r="BX23" s="1"/>
    </row>
    <row r="24">
      <c r="A24" s="1"/>
      <c r="B24" s="148" t="str">
        <f t="array" ref="B24">IFERROR(INDEX('DB(読み込みシート※編集厳禁)'!$A$3:$AH$501,MATCH($C24,'DB(読み込みシート※編集厳禁)'!$B$3:$B$501,0),MATCH(B$14,'DB(読み込みシート※編集厳禁)'!$A$2:$AH$2,0)),"")</f>
        <v>D</v>
      </c>
      <c r="C24" s="149">
        <v>8.0</v>
      </c>
      <c r="D24" s="158" t="str">
        <f t="array" ref="D24">IFERROR(INDEX('DB(読み込みシート※編集厳禁)'!$A$3:$AH$501,MATCH($C24,'DB(読み込みシート※編集厳禁)'!$B$3:$B$501,0),MATCH(D$14,'DB(読み込みシート※編集厳禁)'!$A$2:$AH$2,0)),"")</f>
        <v>たま</v>
      </c>
      <c r="E24" s="159" t="str">
        <f t="array" ref="E24">IFERROR(INDEX('DB(読み込みシート※編集厳禁)'!$A$3:$AH$501,MATCH($C24,'DB(読み込みシート※編集厳禁)'!$B$3:$B$501,0),MATCH(E$14,'DB(読み込みシート※編集厳禁)'!$A$2:$AH$2,0)),"")</f>
        <v>GSX-S1000</v>
      </c>
      <c r="F24" s="160" t="str">
        <f t="array" ref="F24">IFERROR(INDEX('DB(読み込みシート※編集厳禁)'!$A$3:$AH$501,MATCH($C24,'DB(読み込みシート※編集厳禁)'!$B$3:$B$501,0),MATCH(F$14,'DB(読み込みシート※編集厳禁)'!$A$2:$AH$2,0)),"")</f>
        <v>青</v>
      </c>
      <c r="G24" s="133" t="str">
        <f t="shared" si="8"/>
        <v>9:99:999</v>
      </c>
      <c r="H24" s="152" t="str">
        <f t="shared" si="9"/>
        <v>9:99:999</v>
      </c>
      <c r="I24" s="135">
        <v>206482.0</v>
      </c>
      <c r="J24" s="155"/>
      <c r="K24" s="137" t="s">
        <v>9</v>
      </c>
      <c r="L24" s="138" t="str">
        <f t="shared" si="10"/>
        <v>2</v>
      </c>
      <c r="M24" s="139" t="str">
        <f t="shared" si="11"/>
        <v>06</v>
      </c>
      <c r="N24" s="140" t="str">
        <f t="shared" si="12"/>
        <v>482</v>
      </c>
      <c r="O24" s="141" t="str">
        <f t="shared" si="13"/>
        <v>1:57:988</v>
      </c>
      <c r="P24" s="154" t="str">
        <f t="shared" si="14"/>
        <v>1:57:988</v>
      </c>
      <c r="Q24" s="148" t="str">
        <f t="array" ref="Q24">IFERROR(INDEX('DB(読み込みシート※編集厳禁)'!$A$3:$AH$501,MATCH($C24,'DB(読み込みシート※編集厳禁)'!$B$3:$B$501,0),MATCH(Q$14,'DB(読み込みシート※編集厳禁)'!$A$2:$AH$2,0)),"")</f>
        <v>D</v>
      </c>
      <c r="R24" s="149">
        <v>8.0</v>
      </c>
      <c r="S24" s="158" t="str">
        <f t="array" ref="S24">IFERROR(INDEX('DB(読み込みシート※編集厳禁)'!$A$3:$AH$501,MATCH($C24,'DB(読み込みシート※編集厳禁)'!$B$3:$B$501,0),MATCH(S$14,'DB(読み込みシート※編集厳禁)'!$A$2:$AH$2,0)),"")</f>
        <v>たま</v>
      </c>
      <c r="T24" s="159" t="str">
        <f t="array" ref="T24">IFERROR(INDEX('DB(読み込みシート※編集厳禁)'!$A$3:$AH$501,MATCH($C24,'DB(読み込みシート※編集厳禁)'!$B$3:$B$501,0),MATCH(T$14,'DB(読み込みシート※編集厳禁)'!$A$2:$AH$2,0)),"")</f>
        <v>GSX-S1000</v>
      </c>
      <c r="U24" s="135">
        <v>157988.0</v>
      </c>
      <c r="V24" s="155"/>
      <c r="W24" s="137" t="s">
        <v>15</v>
      </c>
      <c r="X24" s="138" t="str">
        <f t="shared" si="15"/>
        <v>1</v>
      </c>
      <c r="Y24" s="139" t="str">
        <f t="shared" si="16"/>
        <v>57</v>
      </c>
      <c r="Z24" s="144" t="str">
        <f t="shared" si="17"/>
        <v>988</v>
      </c>
      <c r="AA24" s="1"/>
      <c r="AB24" s="41" t="s">
        <v>20</v>
      </c>
      <c r="AC24" s="41" t="s">
        <v>67</v>
      </c>
      <c r="AD24" s="41">
        <v>80000.0</v>
      </c>
      <c r="AE24" s="41">
        <v>90000.0</v>
      </c>
      <c r="AF24" s="6"/>
      <c r="AG24" s="6">
        <f t="shared" si="18"/>
        <v>90000</v>
      </c>
      <c r="AH24" s="6">
        <f t="shared" si="19"/>
        <v>92008</v>
      </c>
      <c r="AI24" s="6" t="str">
        <f t="shared" si="20"/>
        <v>D-10</v>
      </c>
      <c r="AJ24" s="6"/>
      <c r="AK24" s="6" t="str">
        <f t="shared" si="21"/>
        <v/>
      </c>
      <c r="AL24" s="6"/>
      <c r="AM24" s="6"/>
      <c r="AN24" s="6"/>
      <c r="AO24" s="6"/>
      <c r="AP24" s="6"/>
      <c r="AQ24" s="7"/>
      <c r="AR24" s="145" t="s">
        <v>72</v>
      </c>
      <c r="AS24" s="146">
        <v>8.0E11</v>
      </c>
      <c r="AT24" s="39">
        <v>8.0</v>
      </c>
      <c r="AU24" s="69" t="str">
        <f t="array" ref="AU24">IFERROR(INDEX('DB(読み込みシート※編集厳禁)'!$A$3:$AH$501,MATCH($C24,'DB(読み込みシート※編集厳禁)'!$B$3:$B$501,0),MATCH(AU$16,'DB(読み込みシート※編集厳禁)'!$A$2:$AH$2,0)),"")</f>
        <v>いいえ</v>
      </c>
      <c r="AV24" s="69" t="str">
        <f t="array" ref="AV24">IFERROR(INDEX('DB(読み込みシート※編集厳禁)'!$A$3:$AH$501,MATCH($C24,'DB(読み込みシート※編集厳禁)'!$B$3:$B$501,0),MATCH(AV$16,'DB(読み込みシート※編集厳禁)'!$A$2:$AH$2,0)),"")</f>
        <v>いいえ</v>
      </c>
      <c r="AW24" s="69" t="str">
        <f t="shared" si="22"/>
        <v>9:99:999</v>
      </c>
      <c r="AX24" s="69" t="str">
        <f t="shared" si="23"/>
        <v>9:99:999</v>
      </c>
      <c r="AY24" s="69" t="str">
        <f t="shared" si="24"/>
        <v>MC</v>
      </c>
      <c r="AZ24" s="69" t="str">
        <f t="shared" si="25"/>
        <v>1:57:988</v>
      </c>
      <c r="BA24" s="69" t="str">
        <f t="shared" si="26"/>
        <v>1:57:988</v>
      </c>
      <c r="BB24" s="69" t="str">
        <f t="shared" si="27"/>
        <v>-</v>
      </c>
      <c r="BC24" s="69" t="str">
        <f t="shared" si="28"/>
        <v>1:57:988</v>
      </c>
      <c r="BD24" s="70">
        <f t="shared" si="29"/>
        <v>1.20881913</v>
      </c>
      <c r="BE24" s="70">
        <f t="shared" si="30"/>
        <v>1.20881913</v>
      </c>
      <c r="BF24" s="1">
        <f t="shared" si="31"/>
        <v>999999</v>
      </c>
      <c r="BG24" s="147">
        <f t="shared" si="32"/>
        <v>117988</v>
      </c>
      <c r="BH24" s="1">
        <f t="shared" si="33"/>
        <v>117988</v>
      </c>
      <c r="BI24" s="1">
        <f t="shared" si="34"/>
        <v>11798808</v>
      </c>
      <c r="BJ24" s="1">
        <f t="shared" si="35"/>
        <v>500011798808</v>
      </c>
      <c r="BK24" s="1">
        <f t="shared" si="36"/>
        <v>117988</v>
      </c>
      <c r="BL24" s="1">
        <f t="shared" si="37"/>
        <v>36</v>
      </c>
      <c r="BM24" s="1" t="str">
        <f t="shared" si="38"/>
        <v>総合37</v>
      </c>
      <c r="BN24" s="1">
        <f t="shared" si="39"/>
        <v>10</v>
      </c>
      <c r="BO24" s="1" t="str">
        <f t="shared" si="40"/>
        <v>D10</v>
      </c>
      <c r="BP24" s="1" t="str">
        <f t="shared" si="41"/>
        <v>-</v>
      </c>
      <c r="BQ24" s="1" t="str">
        <f t="shared" si="42"/>
        <v>セパハン-</v>
      </c>
      <c r="BR24" s="1" t="str">
        <f t="shared" si="43"/>
        <v>-</v>
      </c>
      <c r="BS24" s="1" t="str">
        <f t="shared" si="44"/>
        <v>ミニ-</v>
      </c>
      <c r="BT24" s="1"/>
      <c r="BU24" s="1"/>
      <c r="BV24" s="1"/>
      <c r="BW24" s="1"/>
      <c r="BX24" s="1"/>
    </row>
    <row r="25">
      <c r="A25" s="1"/>
      <c r="B25" s="148" t="str">
        <f t="array" ref="B25">IFERROR(INDEX('DB(読み込みシート※編集厳禁)'!$A$3:$AH$501,MATCH($C25,'DB(読み込みシート※編集厳禁)'!$B$3:$B$501,0),MATCH(B$14,'DB(読み込みシート※編集厳禁)'!$A$2:$AH$2,0)),"")</f>
        <v>D</v>
      </c>
      <c r="C25" s="149">
        <v>9.0</v>
      </c>
      <c r="D25" s="150" t="str">
        <f t="array" ref="D25">IFERROR(INDEX('DB(読み込みシート※編集厳禁)'!$A$3:$AH$501,MATCH($C25,'DB(読み込みシート※編集厳禁)'!$B$3:$B$501,0),MATCH(D$14,'DB(読み込みシート※編集厳禁)'!$A$2:$AH$2,0)),"")</f>
        <v>ひーちゃん</v>
      </c>
      <c r="E25" s="151" t="str">
        <f t="array" ref="E25">IFERROR(INDEX('DB(読み込みシート※編集厳禁)'!$A$3:$AH$501,MATCH($C25,'DB(読み込みシート※編集厳禁)'!$B$3:$B$501,0),MATCH(E$14,'DB(読み込みシート※編集厳禁)'!$A$2:$AH$2,0)),"")</f>
        <v>NSR50改</v>
      </c>
      <c r="F25" s="132" t="str">
        <f t="array" ref="F25">IFERROR(INDEX('DB(読み込みシート※編集厳禁)'!$A$3:$AH$501,MATCH($C25,'DB(読み込みシート※編集厳禁)'!$B$3:$B$501,0),MATCH(F$14,'DB(読み込みシート※編集厳禁)'!$A$2:$AH$2,0)),"")</f>
        <v>青</v>
      </c>
      <c r="G25" s="133" t="str">
        <f t="shared" si="8"/>
        <v>9:99:999</v>
      </c>
      <c r="H25" s="152" t="str">
        <f t="shared" si="9"/>
        <v>9:99:999</v>
      </c>
      <c r="I25" s="135">
        <v>153481.0</v>
      </c>
      <c r="J25" s="156"/>
      <c r="K25" s="137" t="s">
        <v>9</v>
      </c>
      <c r="L25" s="138" t="str">
        <f t="shared" si="10"/>
        <v>1</v>
      </c>
      <c r="M25" s="139" t="str">
        <f t="shared" si="11"/>
        <v>53</v>
      </c>
      <c r="N25" s="140" t="str">
        <f t="shared" si="12"/>
        <v>481</v>
      </c>
      <c r="O25" s="141" t="str">
        <f t="shared" si="13"/>
        <v>1:50:783</v>
      </c>
      <c r="P25" s="154" t="str">
        <f t="shared" si="14"/>
        <v>1:50:783</v>
      </c>
      <c r="Q25" s="148" t="str">
        <f t="array" ref="Q25">IFERROR(INDEX('DB(読み込みシート※編集厳禁)'!$A$3:$AH$501,MATCH($C25,'DB(読み込みシート※編集厳禁)'!$B$3:$B$501,0),MATCH(Q$14,'DB(読み込みシート※編集厳禁)'!$A$2:$AH$2,0)),"")</f>
        <v>D</v>
      </c>
      <c r="R25" s="149">
        <v>9.0</v>
      </c>
      <c r="S25" s="150" t="str">
        <f t="array" ref="S25">IFERROR(INDEX('DB(読み込みシート※編集厳禁)'!$A$3:$AH$501,MATCH($C25,'DB(読み込みシート※編集厳禁)'!$B$3:$B$501,0),MATCH(S$14,'DB(読み込みシート※編集厳禁)'!$A$2:$AH$2,0)),"")</f>
        <v>ひーちゃん</v>
      </c>
      <c r="T25" s="151" t="str">
        <f t="array" ref="T25">IFERROR(INDEX('DB(読み込みシート※編集厳禁)'!$A$3:$AH$501,MATCH($C25,'DB(読み込みシート※編集厳禁)'!$B$3:$B$501,0),MATCH(T$14,'DB(読み込みシート※編集厳禁)'!$A$2:$AH$2,0)),"")</f>
        <v>NSR50改</v>
      </c>
      <c r="U25" s="135">
        <v>150783.0</v>
      </c>
      <c r="V25" s="155"/>
      <c r="W25" s="137" t="s">
        <v>15</v>
      </c>
      <c r="X25" s="138" t="str">
        <f t="shared" si="15"/>
        <v>1</v>
      </c>
      <c r="Y25" s="139" t="str">
        <f t="shared" si="16"/>
        <v>50</v>
      </c>
      <c r="Z25" s="144" t="str">
        <f t="shared" si="17"/>
        <v>783</v>
      </c>
      <c r="AA25" s="1"/>
      <c r="AF25" s="6"/>
      <c r="AG25" s="6">
        <f t="shared" si="18"/>
        <v>90000</v>
      </c>
      <c r="AH25" s="6">
        <f t="shared" si="19"/>
        <v>92009</v>
      </c>
      <c r="AI25" s="6" t="str">
        <f t="shared" si="20"/>
        <v>D-5</v>
      </c>
      <c r="AJ25" s="6"/>
      <c r="AK25" s="6" t="str">
        <f t="shared" si="21"/>
        <v/>
      </c>
      <c r="AL25" s="6"/>
      <c r="AM25" s="6"/>
      <c r="AN25" s="6"/>
      <c r="AO25" s="6"/>
      <c r="AP25" s="6"/>
      <c r="AQ25" s="7"/>
      <c r="AR25" s="69"/>
      <c r="AS25" s="69"/>
      <c r="AT25" s="39">
        <v>9.0</v>
      </c>
      <c r="AU25" s="69" t="str">
        <f t="array" ref="AU25">IFERROR(INDEX('DB(読み込みシート※編集厳禁)'!$A$3:$AH$501,MATCH($C25,'DB(読み込みシート※編集厳禁)'!$B$3:$B$501,0),MATCH(AU$16,'DB(読み込みシート※編集厳禁)'!$A$2:$AH$2,0)),"")</f>
        <v>いいえ</v>
      </c>
      <c r="AV25" s="69" t="str">
        <f t="array" ref="AV25">IFERROR(INDEX('DB(読み込みシート※編集厳禁)'!$A$3:$AH$501,MATCH($C25,'DB(読み込みシート※編集厳禁)'!$B$3:$B$501,0),MATCH(AV$16,'DB(読み込みシート※編集厳禁)'!$A$2:$AH$2,0)),"")</f>
        <v>いいえ</v>
      </c>
      <c r="AW25" s="69" t="str">
        <f t="shared" si="22"/>
        <v>9:99:999</v>
      </c>
      <c r="AX25" s="69" t="str">
        <f t="shared" si="23"/>
        <v>9:99:999</v>
      </c>
      <c r="AY25" s="69" t="str">
        <f t="shared" si="24"/>
        <v>MC</v>
      </c>
      <c r="AZ25" s="69" t="str">
        <f t="shared" si="25"/>
        <v>1:50:783</v>
      </c>
      <c r="BA25" s="69" t="str">
        <f t="shared" si="26"/>
        <v>1:50:783</v>
      </c>
      <c r="BB25" s="69" t="str">
        <f t="shared" si="27"/>
        <v>-</v>
      </c>
      <c r="BC25" s="69" t="str">
        <f t="shared" si="28"/>
        <v>1:50:783</v>
      </c>
      <c r="BD25" s="70">
        <f t="shared" si="29"/>
        <v>1.135001947</v>
      </c>
      <c r="BE25" s="70">
        <f t="shared" si="30"/>
        <v>1.135001947</v>
      </c>
      <c r="BF25" s="1">
        <f t="shared" si="31"/>
        <v>999999</v>
      </c>
      <c r="BG25" s="147">
        <f t="shared" si="32"/>
        <v>110783</v>
      </c>
      <c r="BH25" s="1">
        <f t="shared" si="33"/>
        <v>110783</v>
      </c>
      <c r="BI25" s="1">
        <f t="shared" si="34"/>
        <v>11078309</v>
      </c>
      <c r="BJ25" s="1">
        <f t="shared" si="35"/>
        <v>500011078309</v>
      </c>
      <c r="BK25" s="1">
        <f t="shared" si="36"/>
        <v>110783</v>
      </c>
      <c r="BL25" s="1">
        <f t="shared" si="37"/>
        <v>22</v>
      </c>
      <c r="BM25" s="1" t="str">
        <f t="shared" si="38"/>
        <v>総合32</v>
      </c>
      <c r="BN25" s="1">
        <f t="shared" si="39"/>
        <v>5</v>
      </c>
      <c r="BO25" s="1" t="str">
        <f t="shared" si="40"/>
        <v>D5</v>
      </c>
      <c r="BP25" s="1" t="str">
        <f t="shared" si="41"/>
        <v>-</v>
      </c>
      <c r="BQ25" s="1" t="str">
        <f t="shared" si="42"/>
        <v>セパハン-</v>
      </c>
      <c r="BR25" s="1" t="str">
        <f t="shared" si="43"/>
        <v>-</v>
      </c>
      <c r="BS25" s="1" t="str">
        <f t="shared" si="44"/>
        <v>ミニ-</v>
      </c>
      <c r="BT25" s="1"/>
      <c r="BU25" s="1"/>
      <c r="BV25" s="1"/>
      <c r="BW25" s="1"/>
      <c r="BX25" s="1"/>
    </row>
    <row r="26">
      <c r="A26" s="1"/>
      <c r="B26" s="148" t="str">
        <f t="array" ref="B26">IFERROR(INDEX('DB(読み込みシート※編集厳禁)'!$A$3:$AH$501,MATCH($C26,'DB(読み込みシート※編集厳禁)'!$B$3:$B$501,0),MATCH(B$14,'DB(読み込みシート※編集厳禁)'!$A$2:$AH$2,0)),"")</f>
        <v>D</v>
      </c>
      <c r="C26" s="149">
        <v>10.0</v>
      </c>
      <c r="D26" s="150" t="str">
        <f t="array" ref="D26">IFERROR(INDEX('DB(読み込みシート※編集厳禁)'!$A$3:$AH$501,MATCH($C26,'DB(読み込みシート※編集厳禁)'!$B$3:$B$501,0),MATCH(D$14,'DB(読み込みシート※編集厳禁)'!$A$2:$AH$2,0)),"")</f>
        <v>SIGE2878</v>
      </c>
      <c r="E26" s="151" t="str">
        <f t="array" ref="E26">IFERROR(INDEX('DB(読み込みシート※編集厳禁)'!$A$3:$AH$501,MATCH($C26,'DB(読み込みシート※編集厳禁)'!$B$3:$B$501,0),MATCH(E$14,'DB(読み込みシート※編集厳禁)'!$A$2:$AH$2,0)),"")</f>
        <v>CRM250R</v>
      </c>
      <c r="F26" s="132" t="str">
        <f t="array" ref="F26">IFERROR(INDEX('DB(読み込みシート※編集厳禁)'!$A$3:$AH$501,MATCH($C26,'DB(読み込みシート※編集厳禁)'!$B$3:$B$501,0),MATCH(F$14,'DB(読み込みシート※編集厳禁)'!$A$2:$AH$2,0)),"")</f>
        <v>赤/紫</v>
      </c>
      <c r="G26" s="133" t="str">
        <f t="shared" si="8"/>
        <v>1:50:854</v>
      </c>
      <c r="H26" s="152" t="str">
        <f t="shared" si="9"/>
        <v>1:50:854</v>
      </c>
      <c r="I26" s="135">
        <v>150854.0</v>
      </c>
      <c r="J26" s="157"/>
      <c r="K26" s="137" t="s">
        <v>15</v>
      </c>
      <c r="L26" s="138" t="str">
        <f t="shared" si="10"/>
        <v>1</v>
      </c>
      <c r="M26" s="139" t="str">
        <f t="shared" si="11"/>
        <v>50</v>
      </c>
      <c r="N26" s="140" t="str">
        <f t="shared" si="12"/>
        <v>854</v>
      </c>
      <c r="O26" s="141" t="str">
        <f t="shared" si="13"/>
        <v>1:48:771</v>
      </c>
      <c r="P26" s="154" t="str">
        <f t="shared" si="14"/>
        <v>1:48:771</v>
      </c>
      <c r="Q26" s="148" t="str">
        <f t="array" ref="Q26">IFERROR(INDEX('DB(読み込みシート※編集厳禁)'!$A$3:$AH$501,MATCH($C26,'DB(読み込みシート※編集厳禁)'!$B$3:$B$501,0),MATCH(Q$14,'DB(読み込みシート※編集厳禁)'!$A$2:$AH$2,0)),"")</f>
        <v>D</v>
      </c>
      <c r="R26" s="149">
        <v>10.0</v>
      </c>
      <c r="S26" s="150" t="str">
        <f t="array" ref="S26">IFERROR(INDEX('DB(読み込みシート※編集厳禁)'!$A$3:$AH$501,MATCH($C26,'DB(読み込みシート※編集厳禁)'!$B$3:$B$501,0),MATCH(S$14,'DB(読み込みシート※編集厳禁)'!$A$2:$AH$2,0)),"")</f>
        <v>SIGE2878</v>
      </c>
      <c r="T26" s="151" t="str">
        <f t="array" ref="T26">IFERROR(INDEX('DB(読み込みシート※編集厳禁)'!$A$3:$AH$501,MATCH($C26,'DB(読み込みシート※編集厳禁)'!$B$3:$B$501,0),MATCH(T$14,'DB(読み込みシート※編集厳禁)'!$A$2:$AH$2,0)),"")</f>
        <v>CRM250R</v>
      </c>
      <c r="U26" s="135">
        <v>148771.0</v>
      </c>
      <c r="V26" s="155"/>
      <c r="W26" s="137" t="s">
        <v>15</v>
      </c>
      <c r="X26" s="138" t="str">
        <f t="shared" si="15"/>
        <v>1</v>
      </c>
      <c r="Y26" s="139" t="str">
        <f t="shared" si="16"/>
        <v>48</v>
      </c>
      <c r="Z26" s="144" t="str">
        <f t="shared" si="17"/>
        <v>771</v>
      </c>
      <c r="AA26" s="1"/>
      <c r="AB26" s="86" t="s">
        <v>74</v>
      </c>
      <c r="AC26" s="52">
        <f>MAX(AD17:AD24)</f>
        <v>80000</v>
      </c>
      <c r="AF26" s="6"/>
      <c r="AG26" s="6">
        <f t="shared" si="18"/>
        <v>90000</v>
      </c>
      <c r="AH26" s="6">
        <f t="shared" si="19"/>
        <v>92010</v>
      </c>
      <c r="AI26" s="6" t="str">
        <f t="shared" si="20"/>
        <v>D-3</v>
      </c>
      <c r="AJ26" s="6"/>
      <c r="AK26" s="6" t="str">
        <f t="shared" si="21"/>
        <v/>
      </c>
      <c r="AL26" s="6"/>
      <c r="AM26" s="6"/>
      <c r="AN26" s="6"/>
      <c r="AO26" s="6"/>
      <c r="AP26" s="6"/>
      <c r="AQ26" s="7"/>
      <c r="AR26" s="69"/>
      <c r="AS26" s="69"/>
      <c r="AT26" s="39">
        <v>10.0</v>
      </c>
      <c r="AU26" s="69" t="str">
        <f t="array" ref="AU26">IFERROR(INDEX('DB(読み込みシート※編集厳禁)'!$A$3:$AH$501,MATCH($C26,'DB(読み込みシート※編集厳禁)'!$B$3:$B$501,0),MATCH(AU$16,'DB(読み込みシート※編集厳禁)'!$A$2:$AH$2,0)),"")</f>
        <v>いいえ</v>
      </c>
      <c r="AV26" s="69" t="str">
        <f t="array" ref="AV26">IFERROR(INDEX('DB(読み込みシート※編集厳禁)'!$A$3:$AH$501,MATCH($C26,'DB(読み込みシート※編集厳禁)'!$B$3:$B$501,0),MATCH(AV$16,'DB(読み込みシート※編集厳禁)'!$A$2:$AH$2,0)),"")</f>
        <v>いいえ</v>
      </c>
      <c r="AW26" s="69" t="str">
        <f t="shared" si="22"/>
        <v>1:50:854</v>
      </c>
      <c r="AX26" s="69" t="str">
        <f t="shared" si="23"/>
        <v>1:50:854</v>
      </c>
      <c r="AY26" s="69" t="str">
        <f t="shared" si="24"/>
        <v>-</v>
      </c>
      <c r="AZ26" s="69" t="str">
        <f t="shared" si="25"/>
        <v>1:48:771</v>
      </c>
      <c r="BA26" s="69" t="str">
        <f t="shared" si="26"/>
        <v>1:48:771</v>
      </c>
      <c r="BB26" s="69" t="str">
        <f t="shared" si="27"/>
        <v>-</v>
      </c>
      <c r="BC26" s="69" t="str">
        <f t="shared" si="28"/>
        <v>1:48:771</v>
      </c>
      <c r="BD26" s="70">
        <f t="shared" si="29"/>
        <v>1.11438846</v>
      </c>
      <c r="BE26" s="70">
        <f t="shared" si="30"/>
        <v>1.11438846</v>
      </c>
      <c r="BF26" s="147">
        <f t="shared" si="31"/>
        <v>110854</v>
      </c>
      <c r="BG26" s="147">
        <f t="shared" si="32"/>
        <v>108771</v>
      </c>
      <c r="BH26" s="1">
        <f t="shared" si="33"/>
        <v>108771</v>
      </c>
      <c r="BI26" s="1">
        <f t="shared" si="34"/>
        <v>10877110</v>
      </c>
      <c r="BJ26" s="1">
        <f t="shared" si="35"/>
        <v>500010877110</v>
      </c>
      <c r="BK26" s="1">
        <f t="shared" si="36"/>
        <v>108771</v>
      </c>
      <c r="BL26" s="1">
        <f t="shared" si="37"/>
        <v>16</v>
      </c>
      <c r="BM26" s="1" t="str">
        <f t="shared" si="38"/>
        <v>総合30</v>
      </c>
      <c r="BN26" s="1">
        <f t="shared" si="39"/>
        <v>3</v>
      </c>
      <c r="BO26" s="1" t="str">
        <f t="shared" si="40"/>
        <v>D3</v>
      </c>
      <c r="BP26" s="1" t="str">
        <f t="shared" si="41"/>
        <v>-</v>
      </c>
      <c r="BQ26" s="1" t="str">
        <f t="shared" si="42"/>
        <v>セパハン-</v>
      </c>
      <c r="BR26" s="1" t="str">
        <f t="shared" si="43"/>
        <v>-</v>
      </c>
      <c r="BS26" s="1" t="str">
        <f t="shared" si="44"/>
        <v>ミニ-</v>
      </c>
      <c r="BT26" s="1"/>
      <c r="BU26" s="1"/>
      <c r="BV26" s="1"/>
      <c r="BW26" s="1"/>
      <c r="BX26" s="1"/>
    </row>
    <row r="27">
      <c r="A27" s="1"/>
      <c r="B27" s="148" t="str">
        <f t="array" ref="B27">IFERROR(INDEX('DB(読み込みシート※編集厳禁)'!$A$3:$AH$501,MATCH($C27,'DB(読み込みシート※編集厳禁)'!$B$3:$B$501,0),MATCH(B$14,'DB(読み込みシート※編集厳禁)'!$A$2:$AH$2,0)),"")</f>
        <v>D</v>
      </c>
      <c r="C27" s="149">
        <v>11.0</v>
      </c>
      <c r="D27" s="150" t="str">
        <f t="array" ref="D27">IFERROR(INDEX('DB(読み込みシート※編集厳禁)'!$A$3:$AH$501,MATCH($C27,'DB(読み込みシート※編集厳禁)'!$B$3:$B$501,0),MATCH(D$14,'DB(読み込みシート※編集厳禁)'!$A$2:$AH$2,0)),"")</f>
        <v>ニダボちゃん</v>
      </c>
      <c r="E27" s="151" t="str">
        <f t="array" ref="E27">IFERROR(INDEX('DB(読み込みシート※編集厳禁)'!$A$3:$AH$501,MATCH($C27,'DB(読み込みシート※編集厳禁)'!$B$3:$B$501,0),MATCH(E$14,'DB(読み込みシート※編集厳禁)'!$A$2:$AH$2,0)),"")</f>
        <v>CBR250RR</v>
      </c>
      <c r="F27" s="161" t="str">
        <f t="array" ref="F27">IFERROR(INDEX('DB(読み込みシート※編集厳禁)'!$A$3:$AH$501,MATCH($C27,'DB(読み込みシート※編集厳禁)'!$B$3:$B$501,0),MATCH(F$14,'DB(読み込みシート※編集厳禁)'!$A$2:$AH$2,0)),"")</f>
        <v>赤</v>
      </c>
      <c r="G27" s="133" t="str">
        <f t="shared" si="8"/>
        <v>2:03:159</v>
      </c>
      <c r="H27" s="152" t="str">
        <f t="shared" si="9"/>
        <v>2:03:159</v>
      </c>
      <c r="I27" s="135">
        <v>203159.0</v>
      </c>
      <c r="J27" s="155"/>
      <c r="K27" s="137" t="s">
        <v>15</v>
      </c>
      <c r="L27" s="138" t="str">
        <f t="shared" si="10"/>
        <v>2</v>
      </c>
      <c r="M27" s="139" t="str">
        <f t="shared" si="11"/>
        <v>03</v>
      </c>
      <c r="N27" s="140" t="str">
        <f t="shared" si="12"/>
        <v>159</v>
      </c>
      <c r="O27" s="141" t="str">
        <f t="shared" si="13"/>
        <v>2:01:746</v>
      </c>
      <c r="P27" s="162" t="str">
        <f t="shared" si="14"/>
        <v>2:02:746</v>
      </c>
      <c r="Q27" s="148" t="str">
        <f t="array" ref="Q27">IFERROR(INDEX('DB(読み込みシート※編集厳禁)'!$A$3:$AH$501,MATCH($C27,'DB(読み込みシート※編集厳禁)'!$B$3:$B$501,0),MATCH(Q$14,'DB(読み込みシート※編集厳禁)'!$A$2:$AH$2,0)),"")</f>
        <v>D</v>
      </c>
      <c r="R27" s="149">
        <v>11.0</v>
      </c>
      <c r="S27" s="150" t="str">
        <f t="array" ref="S27">IFERROR(INDEX('DB(読み込みシート※編集厳禁)'!$A$3:$AH$501,MATCH($C27,'DB(読み込みシート※編集厳禁)'!$B$3:$B$501,0),MATCH(S$14,'DB(読み込みシート※編集厳禁)'!$A$2:$AH$2,0)),"")</f>
        <v>ニダボちゃん</v>
      </c>
      <c r="T27" s="151" t="str">
        <f t="array" ref="T27">IFERROR(INDEX('DB(読み込みシート※編集厳禁)'!$A$3:$AH$501,MATCH($C27,'DB(読み込みシート※編集厳禁)'!$B$3:$B$501,0),MATCH(T$14,'DB(読み込みシート※編集厳禁)'!$A$2:$AH$2,0)),"")</f>
        <v>CBR250RR</v>
      </c>
      <c r="U27" s="135">
        <v>201746.0</v>
      </c>
      <c r="V27" s="156">
        <v>1.0</v>
      </c>
      <c r="W27" s="137" t="s">
        <v>15</v>
      </c>
      <c r="X27" s="138" t="str">
        <f t="shared" si="15"/>
        <v>2</v>
      </c>
      <c r="Y27" s="139" t="str">
        <f t="shared" si="16"/>
        <v>01</v>
      </c>
      <c r="Z27" s="144" t="str">
        <f t="shared" si="17"/>
        <v>746</v>
      </c>
      <c r="AA27" s="1"/>
      <c r="AF27" s="6"/>
      <c r="AG27" s="6">
        <f t="shared" si="18"/>
        <v>90000</v>
      </c>
      <c r="AH27" s="6">
        <f t="shared" si="19"/>
        <v>92011</v>
      </c>
      <c r="AI27" s="6" t="str">
        <f t="shared" si="20"/>
        <v>D-13</v>
      </c>
      <c r="AJ27" s="6"/>
      <c r="AK27" s="6" t="str">
        <f t="shared" si="21"/>
        <v/>
      </c>
      <c r="AL27" s="6"/>
      <c r="AM27" s="6"/>
      <c r="AN27" s="6"/>
      <c r="AO27" s="6"/>
      <c r="AP27" s="6"/>
      <c r="AQ27" s="7"/>
      <c r="AR27" s="69"/>
      <c r="AS27" s="69"/>
      <c r="AT27" s="39">
        <v>11.0</v>
      </c>
      <c r="AU27" s="69" t="str">
        <f t="array" ref="AU27">IFERROR(INDEX('DB(読み込みシート※編集厳禁)'!$A$3:$AH$501,MATCH($C27,'DB(読み込みシート※編集厳禁)'!$B$3:$B$501,0),MATCH(AU$16,'DB(読み込みシート※編集厳禁)'!$A$2:$AH$2,0)),"")</f>
        <v>はい</v>
      </c>
      <c r="AV27" s="69" t="str">
        <f t="array" ref="AV27">IFERROR(INDEX('DB(読み込みシート※編集厳禁)'!$A$3:$AH$501,MATCH($C27,'DB(読み込みシート※編集厳禁)'!$B$3:$B$501,0),MATCH(AV$16,'DB(読み込みシート※編集厳禁)'!$A$2:$AH$2,0)),"")</f>
        <v>いいえ</v>
      </c>
      <c r="AW27" s="69" t="str">
        <f t="shared" si="22"/>
        <v>2:03:159</v>
      </c>
      <c r="AX27" s="69" t="str">
        <f t="shared" si="23"/>
        <v>2:03:159</v>
      </c>
      <c r="AY27" s="69" t="str">
        <f t="shared" si="24"/>
        <v>-</v>
      </c>
      <c r="AZ27" s="69" t="str">
        <f t="shared" si="25"/>
        <v>2:01:746</v>
      </c>
      <c r="BA27" s="69" t="str">
        <f t="shared" si="26"/>
        <v>2:02:746</v>
      </c>
      <c r="BB27" s="69">
        <f t="shared" si="27"/>
        <v>1</v>
      </c>
      <c r="BC27" s="69" t="str">
        <f t="shared" si="28"/>
        <v>2:02:746</v>
      </c>
      <c r="BD27" s="70">
        <f t="shared" si="29"/>
        <v>1.257566133</v>
      </c>
      <c r="BE27" s="70">
        <f t="shared" si="30"/>
        <v>1.257566133</v>
      </c>
      <c r="BF27" s="147">
        <f t="shared" si="31"/>
        <v>123159</v>
      </c>
      <c r="BG27" s="147">
        <f t="shared" si="32"/>
        <v>122746</v>
      </c>
      <c r="BH27" s="1">
        <f t="shared" si="33"/>
        <v>122746</v>
      </c>
      <c r="BI27" s="1">
        <f t="shared" si="34"/>
        <v>12274611</v>
      </c>
      <c r="BJ27" s="1">
        <f t="shared" si="35"/>
        <v>500012274611</v>
      </c>
      <c r="BK27" s="1">
        <f t="shared" si="36"/>
        <v>122746</v>
      </c>
      <c r="BL27" s="1">
        <f t="shared" si="37"/>
        <v>43</v>
      </c>
      <c r="BM27" s="1" t="str">
        <f t="shared" si="38"/>
        <v>総合40</v>
      </c>
      <c r="BN27" s="1">
        <f t="shared" si="39"/>
        <v>13</v>
      </c>
      <c r="BO27" s="1" t="str">
        <f t="shared" si="40"/>
        <v>D13</v>
      </c>
      <c r="BP27" s="1">
        <f t="shared" si="41"/>
        <v>4</v>
      </c>
      <c r="BQ27" s="1" t="str">
        <f t="shared" si="42"/>
        <v>セパハン4</v>
      </c>
      <c r="BR27" s="1" t="str">
        <f t="shared" si="43"/>
        <v>-</v>
      </c>
      <c r="BS27" s="1" t="str">
        <f t="shared" si="44"/>
        <v>ミニ-</v>
      </c>
      <c r="BT27" s="1"/>
      <c r="BU27" s="1"/>
      <c r="BV27" s="1"/>
      <c r="BW27" s="1"/>
      <c r="BX27" s="1"/>
    </row>
    <row r="28">
      <c r="A28" s="1"/>
      <c r="B28" s="148" t="str">
        <f t="array" ref="B28">IFERROR(INDEX('DB(読み込みシート※編集厳禁)'!$A$3:$AH$501,MATCH($C28,'DB(読み込みシート※編集厳禁)'!$B$3:$B$501,0),MATCH(B$14,'DB(読み込みシート※編集厳禁)'!$A$2:$AH$2,0)),"")</f>
        <v>D</v>
      </c>
      <c r="C28" s="149">
        <v>12.0</v>
      </c>
      <c r="D28" s="150" t="str">
        <f t="array" ref="D28">IFERROR(INDEX('DB(読み込みシート※編集厳禁)'!$A$3:$AH$501,MATCH($C28,'DB(読み込みシート※編集厳禁)'!$B$3:$B$501,0),MATCH(D$14,'DB(読み込みシート※編集厳禁)'!$A$2:$AH$2,0)),"")</f>
        <v>ぶんちゃん</v>
      </c>
      <c r="E28" s="151" t="str">
        <f t="array" ref="E28">IFERROR(INDEX('DB(読み込みシート※編集厳禁)'!$A$3:$AH$501,MATCH($C28,'DB(読み込みシート※編集厳禁)'!$B$3:$B$501,0),MATCH(E$14,'DB(読み込みシート※編集厳禁)'!$A$2:$AH$2,0)),"")</f>
        <v>GSX-R1000</v>
      </c>
      <c r="F28" s="161" t="str">
        <f t="array" ref="F28">IFERROR(INDEX('DB(読み込みシート※編集厳禁)'!$A$3:$AH$501,MATCH($C28,'DB(読み込みシート※編集厳禁)'!$B$3:$B$501,0),MATCH(F$14,'DB(読み込みシート※編集厳禁)'!$A$2:$AH$2,0)),"")</f>
        <v>グレー</v>
      </c>
      <c r="G28" s="133" t="str">
        <f t="shared" si="8"/>
        <v>9:99:999</v>
      </c>
      <c r="H28" s="152" t="str">
        <f t="shared" si="9"/>
        <v>9:99:999</v>
      </c>
      <c r="I28" s="135">
        <v>207711.0</v>
      </c>
      <c r="J28" s="155"/>
      <c r="K28" s="137" t="s">
        <v>9</v>
      </c>
      <c r="L28" s="138" t="str">
        <f t="shared" si="10"/>
        <v>2</v>
      </c>
      <c r="M28" s="139" t="str">
        <f t="shared" si="11"/>
        <v>07</v>
      </c>
      <c r="N28" s="140" t="str">
        <f t="shared" si="12"/>
        <v>711</v>
      </c>
      <c r="O28" s="141" t="str">
        <f t="shared" si="13"/>
        <v>1:50:255</v>
      </c>
      <c r="P28" s="162" t="str">
        <f t="shared" si="14"/>
        <v>1:51:255</v>
      </c>
      <c r="Q28" s="148" t="str">
        <f t="array" ref="Q28">IFERROR(INDEX('DB(読み込みシート※編集厳禁)'!$A$3:$AH$501,MATCH($C28,'DB(読み込みシート※編集厳禁)'!$B$3:$B$501,0),MATCH(Q$14,'DB(読み込みシート※編集厳禁)'!$A$2:$AH$2,0)),"")</f>
        <v>D</v>
      </c>
      <c r="R28" s="149">
        <v>12.0</v>
      </c>
      <c r="S28" s="150" t="str">
        <f t="array" ref="S28">IFERROR(INDEX('DB(読み込みシート※編集厳禁)'!$A$3:$AH$501,MATCH($C28,'DB(読み込みシート※編集厳禁)'!$B$3:$B$501,0),MATCH(S$14,'DB(読み込みシート※編集厳禁)'!$A$2:$AH$2,0)),"")</f>
        <v>ぶんちゃん</v>
      </c>
      <c r="T28" s="151" t="str">
        <f t="array" ref="T28">IFERROR(INDEX('DB(読み込みシート※編集厳禁)'!$A$3:$AH$501,MATCH($C28,'DB(読み込みシート※編集厳禁)'!$B$3:$B$501,0),MATCH(T$14,'DB(読み込みシート※編集厳禁)'!$A$2:$AH$2,0)),"")</f>
        <v>GSX-R1000</v>
      </c>
      <c r="U28" s="135">
        <v>150255.0</v>
      </c>
      <c r="V28" s="153">
        <v>1.0</v>
      </c>
      <c r="W28" s="137" t="s">
        <v>15</v>
      </c>
      <c r="X28" s="138" t="str">
        <f t="shared" si="15"/>
        <v>1</v>
      </c>
      <c r="Y28" s="139" t="str">
        <f t="shared" si="16"/>
        <v>50</v>
      </c>
      <c r="Z28" s="144" t="str">
        <f t="shared" si="17"/>
        <v>255</v>
      </c>
      <c r="AA28" s="1"/>
      <c r="AB28" s="41" t="s">
        <v>21</v>
      </c>
      <c r="AC28" s="41" t="s">
        <v>66</v>
      </c>
      <c r="AD28" s="41">
        <f t="shared" ref="AD28:AE28" si="45">AD17+$AC$26</f>
        <v>90000</v>
      </c>
      <c r="AE28" s="41">
        <f t="shared" si="45"/>
        <v>100000</v>
      </c>
      <c r="AF28" s="6"/>
      <c r="AG28" s="6">
        <f t="shared" si="18"/>
        <v>90000</v>
      </c>
      <c r="AH28" s="6">
        <f t="shared" si="19"/>
        <v>92012</v>
      </c>
      <c r="AI28" s="6" t="str">
        <f t="shared" si="20"/>
        <v>D-6</v>
      </c>
      <c r="AJ28" s="6"/>
      <c r="AK28" s="6" t="str">
        <f t="shared" si="21"/>
        <v/>
      </c>
      <c r="AL28" s="6"/>
      <c r="AM28" s="6"/>
      <c r="AN28" s="6"/>
      <c r="AO28" s="6"/>
      <c r="AP28" s="6"/>
      <c r="AQ28" s="7"/>
      <c r="AR28" s="69"/>
      <c r="AS28" s="69"/>
      <c r="AT28" s="39">
        <v>12.0</v>
      </c>
      <c r="AU28" s="69" t="str">
        <f t="array" ref="AU28">IFERROR(INDEX('DB(読み込みシート※編集厳禁)'!$A$3:$AH$501,MATCH($C28,'DB(読み込みシート※編集厳禁)'!$B$3:$B$501,0),MATCH(AU$16,'DB(読み込みシート※編集厳禁)'!$A$2:$AH$2,0)),"")</f>
        <v>いいえ</v>
      </c>
      <c r="AV28" s="69" t="str">
        <f t="array" ref="AV28">IFERROR(INDEX('DB(読み込みシート※編集厳禁)'!$A$3:$AH$501,MATCH($C28,'DB(読み込みシート※編集厳禁)'!$B$3:$B$501,0),MATCH(AV$16,'DB(読み込みシート※編集厳禁)'!$A$2:$AH$2,0)),"")</f>
        <v>いいえ</v>
      </c>
      <c r="AW28" s="69" t="str">
        <f t="shared" si="22"/>
        <v>9:99:999</v>
      </c>
      <c r="AX28" s="69" t="str">
        <f t="shared" si="23"/>
        <v>9:99:999</v>
      </c>
      <c r="AY28" s="69" t="str">
        <f t="shared" si="24"/>
        <v>MC</v>
      </c>
      <c r="AZ28" s="69" t="str">
        <f t="shared" si="25"/>
        <v>1:50:255</v>
      </c>
      <c r="BA28" s="69" t="str">
        <f t="shared" si="26"/>
        <v>1:51:255</v>
      </c>
      <c r="BB28" s="69">
        <f t="shared" si="27"/>
        <v>1</v>
      </c>
      <c r="BC28" s="69" t="str">
        <f t="shared" si="28"/>
        <v>1:51:255</v>
      </c>
      <c r="BD28" s="70">
        <f t="shared" si="29"/>
        <v>1.139837715</v>
      </c>
      <c r="BE28" s="70">
        <f t="shared" si="30"/>
        <v>1.139837715</v>
      </c>
      <c r="BF28" s="1">
        <f t="shared" si="31"/>
        <v>999999</v>
      </c>
      <c r="BG28" s="147">
        <f t="shared" si="32"/>
        <v>111255</v>
      </c>
      <c r="BH28" s="1">
        <f t="shared" si="33"/>
        <v>111255</v>
      </c>
      <c r="BI28" s="1">
        <f t="shared" si="34"/>
        <v>11125512</v>
      </c>
      <c r="BJ28" s="1">
        <f t="shared" si="35"/>
        <v>500011125512</v>
      </c>
      <c r="BK28" s="1">
        <f t="shared" si="36"/>
        <v>111255</v>
      </c>
      <c r="BL28" s="1">
        <f t="shared" si="37"/>
        <v>24</v>
      </c>
      <c r="BM28" s="1" t="str">
        <f t="shared" si="38"/>
        <v>総合33</v>
      </c>
      <c r="BN28" s="1">
        <f t="shared" si="39"/>
        <v>6</v>
      </c>
      <c r="BO28" s="1" t="str">
        <f t="shared" si="40"/>
        <v>D6</v>
      </c>
      <c r="BP28" s="1" t="str">
        <f t="shared" si="41"/>
        <v>-</v>
      </c>
      <c r="BQ28" s="1" t="str">
        <f t="shared" si="42"/>
        <v>セパハン-</v>
      </c>
      <c r="BR28" s="1" t="str">
        <f t="shared" si="43"/>
        <v>-</v>
      </c>
      <c r="BS28" s="1" t="str">
        <f t="shared" si="44"/>
        <v>ミニ-</v>
      </c>
      <c r="BT28" s="1"/>
      <c r="BU28" s="1"/>
      <c r="BV28" s="1"/>
      <c r="BW28" s="1"/>
      <c r="BX28" s="1"/>
    </row>
    <row r="29">
      <c r="A29" s="1"/>
      <c r="B29" s="148" t="str">
        <f t="array" ref="B29">IFERROR(INDEX('DB(読み込みシート※編集厳禁)'!$A$3:$AH$501,MATCH($C29,'DB(読み込みシート※編集厳禁)'!$B$3:$B$501,0),MATCH(B$14,'DB(読み込みシート※編集厳禁)'!$A$2:$AH$2,0)),"")</f>
        <v>D</v>
      </c>
      <c r="C29" s="149">
        <v>13.0</v>
      </c>
      <c r="D29" s="150" t="str">
        <f t="array" ref="D29">IFERROR(INDEX('DB(読み込みシート※編集厳禁)'!$A$3:$AH$501,MATCH($C29,'DB(読み込みシート※編集厳禁)'!$B$3:$B$501,0),MATCH(D$14,'DB(読み込みシート※編集厳禁)'!$A$2:$AH$2,0)),"")</f>
        <v>川崎幸治</v>
      </c>
      <c r="E29" s="151" t="str">
        <f t="array" ref="E29">IFERROR(INDEX('DB(読み込みシート※編集厳禁)'!$A$3:$AH$501,MATCH($C29,'DB(読み込みシート※編集厳禁)'!$B$3:$B$501,0),MATCH(E$14,'DB(読み込みシート※編集厳禁)'!$A$2:$AH$2,0)),"")</f>
        <v>トリッカー</v>
      </c>
      <c r="F29" s="161" t="str">
        <f t="array" ref="F29">IFERROR(INDEX('DB(読み込みシート※編集厳禁)'!$A$3:$AH$501,MATCH($C29,'DB(読み込みシート※編集厳禁)'!$B$3:$B$501,0),MATCH(F$14,'DB(読み込みシート※編集厳禁)'!$A$2:$AH$2,0)),"")</f>
        <v>オレンジ</v>
      </c>
      <c r="G29" s="133" t="str">
        <f t="shared" si="8"/>
        <v>1:47:950</v>
      </c>
      <c r="H29" s="152" t="str">
        <f t="shared" si="9"/>
        <v>1:50:950</v>
      </c>
      <c r="I29" s="135">
        <v>147950.0</v>
      </c>
      <c r="J29" s="156">
        <v>3.0</v>
      </c>
      <c r="K29" s="137" t="s">
        <v>15</v>
      </c>
      <c r="L29" s="138" t="str">
        <f t="shared" si="10"/>
        <v>1</v>
      </c>
      <c r="M29" s="139" t="str">
        <f t="shared" si="11"/>
        <v>47</v>
      </c>
      <c r="N29" s="140" t="str">
        <f t="shared" si="12"/>
        <v>950</v>
      </c>
      <c r="O29" s="141" t="str">
        <f t="shared" si="13"/>
        <v>1:47:289</v>
      </c>
      <c r="P29" s="162" t="str">
        <f t="shared" si="14"/>
        <v>1:47:289</v>
      </c>
      <c r="Q29" s="148" t="str">
        <f t="array" ref="Q29">IFERROR(INDEX('DB(読み込みシート※編集厳禁)'!$A$3:$AH$501,MATCH($C29,'DB(読み込みシート※編集厳禁)'!$B$3:$B$501,0),MATCH(Q$14,'DB(読み込みシート※編集厳禁)'!$A$2:$AH$2,0)),"")</f>
        <v>D</v>
      </c>
      <c r="R29" s="149">
        <v>13.0</v>
      </c>
      <c r="S29" s="150" t="str">
        <f t="array" ref="S29">IFERROR(INDEX('DB(読み込みシート※編集厳禁)'!$A$3:$AH$501,MATCH($C29,'DB(読み込みシート※編集厳禁)'!$B$3:$B$501,0),MATCH(S$14,'DB(読み込みシート※編集厳禁)'!$A$2:$AH$2,0)),"")</f>
        <v>川崎幸治</v>
      </c>
      <c r="T29" s="151" t="str">
        <f t="array" ref="T29">IFERROR(INDEX('DB(読み込みシート※編集厳禁)'!$A$3:$AH$501,MATCH($C29,'DB(読み込みシート※編集厳禁)'!$B$3:$B$501,0),MATCH(T$14,'DB(読み込みシート※編集厳禁)'!$A$2:$AH$2,0)),"")</f>
        <v>トリッカー</v>
      </c>
      <c r="U29" s="135">
        <v>147289.0</v>
      </c>
      <c r="V29" s="157"/>
      <c r="W29" s="137" t="s">
        <v>15</v>
      </c>
      <c r="X29" s="138" t="str">
        <f t="shared" si="15"/>
        <v>1</v>
      </c>
      <c r="Y29" s="139" t="str">
        <f t="shared" si="16"/>
        <v>47</v>
      </c>
      <c r="Z29" s="144" t="str">
        <f t="shared" si="17"/>
        <v>289</v>
      </c>
      <c r="AA29" s="1"/>
      <c r="AB29" s="41" t="s">
        <v>21</v>
      </c>
      <c r="AC29" s="41" t="s">
        <v>68</v>
      </c>
      <c r="AD29" s="41">
        <f t="shared" ref="AD29:AE29" si="46">AD18+$AC$26</f>
        <v>100000</v>
      </c>
      <c r="AE29" s="41">
        <f t="shared" si="46"/>
        <v>110000</v>
      </c>
      <c r="AF29" s="6"/>
      <c r="AG29" s="6">
        <f t="shared" si="18"/>
        <v>90000</v>
      </c>
      <c r="AH29" s="6">
        <f t="shared" si="19"/>
        <v>92013</v>
      </c>
      <c r="AI29" s="6" t="str">
        <f t="shared" si="20"/>
        <v>D-1</v>
      </c>
      <c r="AJ29" s="6"/>
      <c r="AK29" s="6" t="str">
        <f t="shared" si="21"/>
        <v/>
      </c>
      <c r="AL29" s="6"/>
      <c r="AM29" s="6"/>
      <c r="AN29" s="6"/>
      <c r="AO29" s="6"/>
      <c r="AP29" s="6"/>
      <c r="AQ29" s="7"/>
      <c r="AR29" s="69"/>
      <c r="AS29" s="69"/>
      <c r="AT29" s="39">
        <v>13.0</v>
      </c>
      <c r="AU29" s="69" t="str">
        <f t="array" ref="AU29">IFERROR(INDEX('DB(読み込みシート※編集厳禁)'!$A$3:$AH$501,MATCH($C29,'DB(読み込みシート※編集厳禁)'!$B$3:$B$501,0),MATCH(AU$16,'DB(読み込みシート※編集厳禁)'!$A$2:$AH$2,0)),"")</f>
        <v>いいえ</v>
      </c>
      <c r="AV29" s="69" t="str">
        <f t="array" ref="AV29">IFERROR(INDEX('DB(読み込みシート※編集厳禁)'!$A$3:$AH$501,MATCH($C29,'DB(読み込みシート※編集厳禁)'!$B$3:$B$501,0),MATCH(AV$16,'DB(読み込みシート※編集厳禁)'!$A$2:$AH$2,0)),"")</f>
        <v>いいえ</v>
      </c>
      <c r="AW29" s="69" t="str">
        <f t="shared" si="22"/>
        <v>1:47:950</v>
      </c>
      <c r="AX29" s="69" t="str">
        <f t="shared" si="23"/>
        <v>1:50:950</v>
      </c>
      <c r="AY29" s="69">
        <f t="shared" si="24"/>
        <v>3</v>
      </c>
      <c r="AZ29" s="69" t="str">
        <f t="shared" si="25"/>
        <v>1:47:289</v>
      </c>
      <c r="BA29" s="69" t="str">
        <f t="shared" si="26"/>
        <v>1:47:289</v>
      </c>
      <c r="BB29" s="69" t="str">
        <f t="shared" si="27"/>
        <v>-</v>
      </c>
      <c r="BC29" s="69" t="str">
        <f t="shared" si="28"/>
        <v>1:47:289</v>
      </c>
      <c r="BD29" s="70">
        <f t="shared" si="29"/>
        <v>1.099204967</v>
      </c>
      <c r="BE29" s="70">
        <f t="shared" si="30"/>
        <v>1.099204967</v>
      </c>
      <c r="BF29" s="147">
        <f t="shared" si="31"/>
        <v>110950</v>
      </c>
      <c r="BG29" s="147">
        <f t="shared" si="32"/>
        <v>107289</v>
      </c>
      <c r="BH29" s="1">
        <f t="shared" si="33"/>
        <v>107289</v>
      </c>
      <c r="BI29" s="1">
        <f t="shared" si="34"/>
        <v>10728913</v>
      </c>
      <c r="BJ29" s="1">
        <f t="shared" si="35"/>
        <v>500010728913</v>
      </c>
      <c r="BK29" s="1">
        <f t="shared" si="36"/>
        <v>107289</v>
      </c>
      <c r="BL29" s="1">
        <f t="shared" si="37"/>
        <v>13</v>
      </c>
      <c r="BM29" s="1" t="str">
        <f t="shared" si="38"/>
        <v>総合28</v>
      </c>
      <c r="BN29" s="1">
        <f t="shared" si="39"/>
        <v>1</v>
      </c>
      <c r="BO29" s="1" t="str">
        <f t="shared" si="40"/>
        <v>D1</v>
      </c>
      <c r="BP29" s="1" t="str">
        <f t="shared" si="41"/>
        <v>-</v>
      </c>
      <c r="BQ29" s="1" t="str">
        <f t="shared" si="42"/>
        <v>セパハン-</v>
      </c>
      <c r="BR29" s="1" t="str">
        <f t="shared" si="43"/>
        <v>-</v>
      </c>
      <c r="BS29" s="1" t="str">
        <f t="shared" si="44"/>
        <v>ミニ-</v>
      </c>
      <c r="BT29" s="1"/>
      <c r="BU29" s="1"/>
      <c r="BV29" s="1"/>
      <c r="BW29" s="1"/>
      <c r="BX29" s="1"/>
    </row>
    <row r="30">
      <c r="A30" s="1"/>
      <c r="B30" s="148" t="str">
        <f t="array" ref="B30">IFERROR(INDEX('DB(読み込みシート※編集厳禁)'!$A$3:$AH$501,MATCH($C30,'DB(読み込みシート※編集厳禁)'!$B$3:$B$501,0),MATCH(B$14,'DB(読み込みシート※編集厳禁)'!$A$2:$AH$2,0)),"")</f>
        <v>R</v>
      </c>
      <c r="C30" s="149">
        <v>14.0</v>
      </c>
      <c r="D30" s="150" t="str">
        <f t="array" ref="D30">IFERROR(INDEX('DB(読み込みシート※編集厳禁)'!$A$3:$AH$501,MATCH($C30,'DB(読み込みシート※編集厳禁)'!$B$3:$B$501,0),MATCH(D$14,'DB(読み込みシート※編集厳禁)'!$A$2:$AH$2,0)),"")</f>
        <v>にんじゃ</v>
      </c>
      <c r="E30" s="151" t="str">
        <f t="array" ref="E30">IFERROR(INDEX('DB(読み込みシート※編集厳禁)'!$A$3:$AH$501,MATCH($C30,'DB(読み込みシート※編集厳禁)'!$B$3:$B$501,0),MATCH(E$14,'DB(読み込みシート※編集厳禁)'!$A$2:$AH$2,0)),"")</f>
        <v>GROM</v>
      </c>
      <c r="F30" s="161" t="str">
        <f t="array" ref="F30">IFERROR(INDEX('DB(読み込みシート※編集厳禁)'!$A$3:$AH$501,MATCH($C30,'DB(読み込みシート※編集厳禁)'!$B$3:$B$501,0),MATCH(F$14,'DB(読み込みシート※編集厳禁)'!$A$2:$AH$2,0)),"")</f>
        <v>シルバー</v>
      </c>
      <c r="G30" s="133" t="str">
        <f t="shared" si="8"/>
        <v>2:06:466</v>
      </c>
      <c r="H30" s="152" t="str">
        <f t="shared" si="9"/>
        <v>2:06:466</v>
      </c>
      <c r="I30" s="135">
        <v>206466.0</v>
      </c>
      <c r="J30" s="155"/>
      <c r="K30" s="137" t="s">
        <v>15</v>
      </c>
      <c r="L30" s="138" t="str">
        <f t="shared" si="10"/>
        <v>2</v>
      </c>
      <c r="M30" s="139" t="str">
        <f t="shared" si="11"/>
        <v>06</v>
      </c>
      <c r="N30" s="140" t="str">
        <f t="shared" si="12"/>
        <v>466</v>
      </c>
      <c r="O30" s="141" t="str">
        <f t="shared" si="13"/>
        <v>2:05:058</v>
      </c>
      <c r="P30" s="162" t="str">
        <f t="shared" si="14"/>
        <v>2:05:058</v>
      </c>
      <c r="Q30" s="148" t="str">
        <f t="array" ref="Q30">IFERROR(INDEX('DB(読み込みシート※編集厳禁)'!$A$3:$AH$501,MATCH($C30,'DB(読み込みシート※編集厳禁)'!$B$3:$B$501,0),MATCH(Q$14,'DB(読み込みシート※編集厳禁)'!$A$2:$AH$2,0)),"")</f>
        <v>R</v>
      </c>
      <c r="R30" s="149">
        <v>14.0</v>
      </c>
      <c r="S30" s="150" t="str">
        <f t="array" ref="S30">IFERROR(INDEX('DB(読み込みシート※編集厳禁)'!$A$3:$AH$501,MATCH($C30,'DB(読み込みシート※編集厳禁)'!$B$3:$B$501,0),MATCH(S$14,'DB(読み込みシート※編集厳禁)'!$A$2:$AH$2,0)),"")</f>
        <v>にんじゃ</v>
      </c>
      <c r="T30" s="151" t="str">
        <f t="array" ref="T30">IFERROR(INDEX('DB(読み込みシート※編集厳禁)'!$A$3:$AH$501,MATCH($C30,'DB(読み込みシート※編集厳禁)'!$B$3:$B$501,0),MATCH(T$14,'DB(読み込みシート※編集厳禁)'!$A$2:$AH$2,0)),"")</f>
        <v>GROM</v>
      </c>
      <c r="U30" s="135">
        <v>205058.0</v>
      </c>
      <c r="V30" s="155"/>
      <c r="W30" s="137" t="s">
        <v>15</v>
      </c>
      <c r="X30" s="138" t="str">
        <f t="shared" si="15"/>
        <v>2</v>
      </c>
      <c r="Y30" s="139" t="str">
        <f t="shared" si="16"/>
        <v>05</v>
      </c>
      <c r="Z30" s="144" t="str">
        <f t="shared" si="17"/>
        <v>058</v>
      </c>
      <c r="AA30" s="1"/>
      <c r="AB30" s="41" t="s">
        <v>21</v>
      </c>
      <c r="AC30" s="41" t="s">
        <v>70</v>
      </c>
      <c r="AD30" s="41">
        <f t="shared" ref="AD30:AE30" si="47">AD19+$AC$26</f>
        <v>110000</v>
      </c>
      <c r="AE30" s="41">
        <f t="shared" si="47"/>
        <v>120000</v>
      </c>
      <c r="AF30" s="6"/>
      <c r="AG30" s="6">
        <f t="shared" si="18"/>
        <v>100000</v>
      </c>
      <c r="AH30" s="6">
        <f t="shared" si="19"/>
        <v>102014</v>
      </c>
      <c r="AI30" s="6" t="str">
        <f t="shared" si="20"/>
        <v>R-3</v>
      </c>
      <c r="AJ30" s="6"/>
      <c r="AK30" s="6" t="str">
        <f t="shared" si="21"/>
        <v/>
      </c>
      <c r="AL30" s="6"/>
      <c r="AM30" s="6"/>
      <c r="AN30" s="6"/>
      <c r="AO30" s="6"/>
      <c r="AP30" s="6"/>
      <c r="AQ30" s="7"/>
      <c r="AR30" s="69"/>
      <c r="AS30" s="69"/>
      <c r="AT30" s="39">
        <v>14.0</v>
      </c>
      <c r="AU30" s="69" t="str">
        <f t="array" ref="AU30">IFERROR(INDEX('DB(読み込みシート※編集厳禁)'!$A$3:$AH$501,MATCH($C30,'DB(読み込みシート※編集厳禁)'!$B$3:$B$501,0),MATCH(AU$16,'DB(読み込みシート※編集厳禁)'!$A$2:$AH$2,0)),"")</f>
        <v>いいえ</v>
      </c>
      <c r="AV30" s="69" t="str">
        <f t="array" ref="AV30">IFERROR(INDEX('DB(読み込みシート※編集厳禁)'!$A$3:$AH$501,MATCH($C30,'DB(読み込みシート※編集厳禁)'!$B$3:$B$501,0),MATCH(AV$16,'DB(読み込みシート※編集厳禁)'!$A$2:$AH$2,0)),"")</f>
        <v>はい</v>
      </c>
      <c r="AW30" s="69" t="str">
        <f t="shared" si="22"/>
        <v>2:06:466</v>
      </c>
      <c r="AX30" s="69" t="str">
        <f t="shared" si="23"/>
        <v>2:06:466</v>
      </c>
      <c r="AY30" s="69" t="str">
        <f t="shared" si="24"/>
        <v>-</v>
      </c>
      <c r="AZ30" s="69" t="str">
        <f t="shared" si="25"/>
        <v>2:05:058</v>
      </c>
      <c r="BA30" s="69" t="str">
        <f t="shared" si="26"/>
        <v>2:05:058</v>
      </c>
      <c r="BB30" s="69" t="str">
        <f t="shared" si="27"/>
        <v>-</v>
      </c>
      <c r="BC30" s="69" t="str">
        <f t="shared" si="28"/>
        <v>2:05:058</v>
      </c>
      <c r="BD30" s="70">
        <f t="shared" si="29"/>
        <v>1.281253202</v>
      </c>
      <c r="BE30" s="70">
        <f t="shared" si="30"/>
        <v>1.281253202</v>
      </c>
      <c r="BF30" s="147">
        <f t="shared" si="31"/>
        <v>126466</v>
      </c>
      <c r="BG30" s="147">
        <f t="shared" si="32"/>
        <v>125058</v>
      </c>
      <c r="BH30" s="1">
        <f t="shared" si="33"/>
        <v>125058</v>
      </c>
      <c r="BI30" s="1">
        <f t="shared" si="34"/>
        <v>12505814</v>
      </c>
      <c r="BJ30" s="1">
        <f t="shared" si="35"/>
        <v>600012505814</v>
      </c>
      <c r="BK30" s="1">
        <f t="shared" si="36"/>
        <v>125058</v>
      </c>
      <c r="BL30" s="1">
        <f t="shared" si="37"/>
        <v>44</v>
      </c>
      <c r="BM30" s="1" t="str">
        <f t="shared" si="38"/>
        <v>総合43</v>
      </c>
      <c r="BN30" s="1">
        <f t="shared" si="39"/>
        <v>3</v>
      </c>
      <c r="BO30" s="1" t="str">
        <f t="shared" si="40"/>
        <v>R3</v>
      </c>
      <c r="BP30" s="1" t="str">
        <f t="shared" si="41"/>
        <v>-</v>
      </c>
      <c r="BQ30" s="1" t="str">
        <f t="shared" si="42"/>
        <v>セパハン-</v>
      </c>
      <c r="BR30" s="1">
        <f t="shared" si="43"/>
        <v>3</v>
      </c>
      <c r="BS30" s="1" t="str">
        <f t="shared" si="44"/>
        <v>ミニ3</v>
      </c>
      <c r="BT30" s="1"/>
      <c r="BU30" s="1"/>
      <c r="BV30" s="1"/>
      <c r="BW30" s="1"/>
      <c r="BX30" s="1"/>
    </row>
    <row r="31">
      <c r="A31" s="1"/>
      <c r="B31" s="148" t="str">
        <f t="array" ref="B31">IFERROR(INDEX('DB(読み込みシート※編集厳禁)'!$A$3:$AH$501,MATCH($C31,'DB(読み込みシート※編集厳禁)'!$B$3:$B$501,0),MATCH(B$14,'DB(読み込みシート※編集厳禁)'!$A$2:$AH$2,0)),"")</f>
        <v>R</v>
      </c>
      <c r="C31" s="149">
        <v>15.0</v>
      </c>
      <c r="D31" s="150" t="str">
        <f t="array" ref="D31">IFERROR(INDEX('DB(読み込みシート※編集厳禁)'!$A$3:$AH$501,MATCH($C31,'DB(読み込みシート※編集厳禁)'!$B$3:$B$501,0),MATCH(D$14,'DB(読み込みシート※編集厳禁)'!$A$2:$AH$2,0)),"")</f>
        <v>nagai7111</v>
      </c>
      <c r="E31" s="151" t="str">
        <f t="array" ref="E31">IFERROR(INDEX('DB(読み込みシート※編集厳禁)'!$A$3:$AH$501,MATCH($C31,'DB(読み込みシート※編集厳禁)'!$B$3:$B$501,0),MATCH(E$14,'DB(読み込みシート※編集厳禁)'!$A$2:$AH$2,0)),"")</f>
        <v>VTR</v>
      </c>
      <c r="F31" s="161" t="str">
        <f t="array" ref="F31">IFERROR(INDEX('DB(読み込みシート※編集厳禁)'!$A$3:$AH$501,MATCH($C31,'DB(読み込みシート※編集厳禁)'!$B$3:$B$501,0),MATCH(F$14,'DB(読み込みシート※編集厳禁)'!$A$2:$AH$2,0)),"")</f>
        <v>青</v>
      </c>
      <c r="G31" s="133" t="str">
        <f t="shared" si="8"/>
        <v>2:00:606</v>
      </c>
      <c r="H31" s="152" t="str">
        <f t="shared" si="9"/>
        <v>2:00:606</v>
      </c>
      <c r="I31" s="135">
        <v>200606.0</v>
      </c>
      <c r="J31" s="155"/>
      <c r="K31" s="137" t="s">
        <v>15</v>
      </c>
      <c r="L31" s="138" t="str">
        <f t="shared" si="10"/>
        <v>2</v>
      </c>
      <c r="M31" s="139" t="str">
        <f t="shared" si="11"/>
        <v>00</v>
      </c>
      <c r="N31" s="140" t="str">
        <f t="shared" si="12"/>
        <v>606</v>
      </c>
      <c r="O31" s="141" t="str">
        <f t="shared" si="13"/>
        <v>1:58:070</v>
      </c>
      <c r="P31" s="162" t="str">
        <f t="shared" si="14"/>
        <v>1:58:070</v>
      </c>
      <c r="Q31" s="148" t="str">
        <f t="array" ref="Q31">IFERROR(INDEX('DB(読み込みシート※編集厳禁)'!$A$3:$AH$501,MATCH($C31,'DB(読み込みシート※編集厳禁)'!$B$3:$B$501,0),MATCH(Q$14,'DB(読み込みシート※編集厳禁)'!$A$2:$AH$2,0)),"")</f>
        <v>R</v>
      </c>
      <c r="R31" s="149">
        <v>15.0</v>
      </c>
      <c r="S31" s="150" t="str">
        <f t="array" ref="S31">IFERROR(INDEX('DB(読み込みシート※編集厳禁)'!$A$3:$AH$501,MATCH($C31,'DB(読み込みシート※編集厳禁)'!$B$3:$B$501,0),MATCH(S$14,'DB(読み込みシート※編集厳禁)'!$A$2:$AH$2,0)),"")</f>
        <v>nagai7111</v>
      </c>
      <c r="T31" s="151" t="str">
        <f t="array" ref="T31">IFERROR(INDEX('DB(読み込みシート※編集厳禁)'!$A$3:$AH$501,MATCH($C31,'DB(読み込みシート※編集厳禁)'!$B$3:$B$501,0),MATCH(T$14,'DB(読み込みシート※編集厳禁)'!$A$2:$AH$2,0)),"")</f>
        <v>VTR</v>
      </c>
      <c r="U31" s="135">
        <v>158070.0</v>
      </c>
      <c r="V31" s="157"/>
      <c r="W31" s="137" t="s">
        <v>15</v>
      </c>
      <c r="X31" s="138" t="str">
        <f t="shared" si="15"/>
        <v>1</v>
      </c>
      <c r="Y31" s="139" t="str">
        <f t="shared" si="16"/>
        <v>58</v>
      </c>
      <c r="Z31" s="144" t="str">
        <f t="shared" si="17"/>
        <v>070</v>
      </c>
      <c r="AA31" s="1"/>
      <c r="AB31" s="41" t="s">
        <v>21</v>
      </c>
      <c r="AC31" s="41" t="s">
        <v>72</v>
      </c>
      <c r="AD31" s="41">
        <f t="shared" ref="AD31:AE31" si="48">AD20+$AC$26</f>
        <v>120000</v>
      </c>
      <c r="AE31" s="41">
        <f t="shared" si="48"/>
        <v>130000</v>
      </c>
      <c r="AF31" s="6"/>
      <c r="AG31" s="6">
        <f t="shared" si="18"/>
        <v>100000</v>
      </c>
      <c r="AH31" s="6">
        <f t="shared" si="19"/>
        <v>102015</v>
      </c>
      <c r="AI31" s="6" t="str">
        <f t="shared" si="20"/>
        <v>R-2</v>
      </c>
      <c r="AJ31" s="6"/>
      <c r="AK31" s="6" t="str">
        <f t="shared" si="21"/>
        <v/>
      </c>
      <c r="AL31" s="6"/>
      <c r="AM31" s="6"/>
      <c r="AN31" s="6"/>
      <c r="AO31" s="6"/>
      <c r="AP31" s="6"/>
      <c r="AQ31" s="7"/>
      <c r="AR31" s="69"/>
      <c r="AS31" s="69"/>
      <c r="AT31" s="39">
        <v>15.0</v>
      </c>
      <c r="AU31" s="69" t="str">
        <f t="array" ref="AU31">IFERROR(INDEX('DB(読み込みシート※編集厳禁)'!$A$3:$AH$501,MATCH($C31,'DB(読み込みシート※編集厳禁)'!$B$3:$B$501,0),MATCH(AU$16,'DB(読み込みシート※編集厳禁)'!$A$2:$AH$2,0)),"")</f>
        <v>いいえ</v>
      </c>
      <c r="AV31" s="69" t="str">
        <f t="array" ref="AV31">IFERROR(INDEX('DB(読み込みシート※編集厳禁)'!$A$3:$AH$501,MATCH($C31,'DB(読み込みシート※編集厳禁)'!$B$3:$B$501,0),MATCH(AV$16,'DB(読み込みシート※編集厳禁)'!$A$2:$AH$2,0)),"")</f>
        <v>いいえ</v>
      </c>
      <c r="AW31" s="69" t="str">
        <f t="shared" si="22"/>
        <v>2:00:606</v>
      </c>
      <c r="AX31" s="69" t="str">
        <f t="shared" si="23"/>
        <v>2:00:606</v>
      </c>
      <c r="AY31" s="69" t="str">
        <f t="shared" si="24"/>
        <v>-</v>
      </c>
      <c r="AZ31" s="69" t="str">
        <f t="shared" si="25"/>
        <v>1:58:070</v>
      </c>
      <c r="BA31" s="69" t="str">
        <f t="shared" si="26"/>
        <v>1:58:070</v>
      </c>
      <c r="BB31" s="69" t="str">
        <f t="shared" si="27"/>
        <v>-</v>
      </c>
      <c r="BC31" s="69" t="str">
        <f t="shared" si="28"/>
        <v>1:58:070</v>
      </c>
      <c r="BD31" s="70">
        <f t="shared" si="29"/>
        <v>1.209659242</v>
      </c>
      <c r="BE31" s="70">
        <f t="shared" si="30"/>
        <v>1.209659242</v>
      </c>
      <c r="BF31" s="147">
        <f t="shared" si="31"/>
        <v>120606</v>
      </c>
      <c r="BG31" s="147">
        <f t="shared" si="32"/>
        <v>118070</v>
      </c>
      <c r="BH31" s="1">
        <f t="shared" si="33"/>
        <v>118070</v>
      </c>
      <c r="BI31" s="1">
        <f t="shared" si="34"/>
        <v>11807015</v>
      </c>
      <c r="BJ31" s="1">
        <f t="shared" si="35"/>
        <v>600011807015</v>
      </c>
      <c r="BK31" s="1">
        <f t="shared" si="36"/>
        <v>118070</v>
      </c>
      <c r="BL31" s="1">
        <f t="shared" si="37"/>
        <v>37</v>
      </c>
      <c r="BM31" s="1" t="str">
        <f t="shared" si="38"/>
        <v>総合42</v>
      </c>
      <c r="BN31" s="1">
        <f t="shared" si="39"/>
        <v>2</v>
      </c>
      <c r="BO31" s="1" t="str">
        <f t="shared" si="40"/>
        <v>R2</v>
      </c>
      <c r="BP31" s="1" t="str">
        <f t="shared" si="41"/>
        <v>-</v>
      </c>
      <c r="BQ31" s="1" t="str">
        <f t="shared" si="42"/>
        <v>セパハン-</v>
      </c>
      <c r="BR31" s="1" t="str">
        <f t="shared" si="43"/>
        <v>-</v>
      </c>
      <c r="BS31" s="1" t="str">
        <f t="shared" si="44"/>
        <v>ミニ-</v>
      </c>
      <c r="BT31" s="1"/>
      <c r="BU31" s="1"/>
      <c r="BV31" s="1"/>
      <c r="BW31" s="1"/>
      <c r="BX31" s="1"/>
    </row>
    <row r="32">
      <c r="A32" s="1"/>
      <c r="B32" s="148" t="str">
        <f t="array" ref="B32">IFERROR(INDEX('DB(読み込みシート※編集厳禁)'!$A$3:$AH$501,MATCH($C32,'DB(読み込みシート※編集厳禁)'!$B$3:$B$501,0),MATCH(B$14,'DB(読み込みシート※編集厳禁)'!$A$2:$AH$2,0)),"")</f>
        <v>R</v>
      </c>
      <c r="C32" s="149">
        <v>16.0</v>
      </c>
      <c r="D32" s="150" t="str">
        <f t="array" ref="D32">IFERROR(INDEX('DB(読み込みシート※編集厳禁)'!$A$3:$AH$501,MATCH($C32,'DB(読み込みシート※編集厳禁)'!$B$3:$B$501,0),MATCH(D$14,'DB(読み込みシート※編集厳禁)'!$A$2:$AH$2,0)),"")</f>
        <v>ホッシー</v>
      </c>
      <c r="E32" s="151" t="str">
        <f t="array" ref="E32">IFERROR(INDEX('DB(読み込みシート※編集厳禁)'!$A$3:$AH$501,MATCH($C32,'DB(読み込みシート※編集厳禁)'!$B$3:$B$501,0),MATCH(E$14,'DB(読み込みシート※編集厳禁)'!$A$2:$AH$2,0)),"")</f>
        <v>Ninja250</v>
      </c>
      <c r="F32" s="161" t="str">
        <f t="array" ref="F32">IFERROR(INDEX('DB(読み込みシート※編集厳禁)'!$A$3:$AH$501,MATCH($C32,'DB(読み込みシート※編集厳禁)'!$B$3:$B$501,0),MATCH(F$14,'DB(読み込みシート※編集厳禁)'!$A$2:$AH$2,0)),"")</f>
        <v>青/黒</v>
      </c>
      <c r="G32" s="133" t="str">
        <f t="shared" si="8"/>
        <v>2:00:341</v>
      </c>
      <c r="H32" s="152" t="str">
        <f t="shared" si="9"/>
        <v>2:01:341</v>
      </c>
      <c r="I32" s="135">
        <v>200341.0</v>
      </c>
      <c r="J32" s="156">
        <v>1.0</v>
      </c>
      <c r="K32" s="137" t="s">
        <v>15</v>
      </c>
      <c r="L32" s="138" t="str">
        <f t="shared" si="10"/>
        <v>2</v>
      </c>
      <c r="M32" s="139" t="str">
        <f t="shared" si="11"/>
        <v>00</v>
      </c>
      <c r="N32" s="140" t="str">
        <f t="shared" si="12"/>
        <v>341</v>
      </c>
      <c r="O32" s="141" t="str">
        <f t="shared" si="13"/>
        <v>1:57:711</v>
      </c>
      <c r="P32" s="162" t="str">
        <f t="shared" si="14"/>
        <v>1:57:711</v>
      </c>
      <c r="Q32" s="148" t="str">
        <f t="array" ref="Q32">IFERROR(INDEX('DB(読み込みシート※編集厳禁)'!$A$3:$AH$501,MATCH($C32,'DB(読み込みシート※編集厳禁)'!$B$3:$B$501,0),MATCH(Q$14,'DB(読み込みシート※編集厳禁)'!$A$2:$AH$2,0)),"")</f>
        <v>R</v>
      </c>
      <c r="R32" s="149">
        <v>16.0</v>
      </c>
      <c r="S32" s="150" t="str">
        <f t="array" ref="S32">IFERROR(INDEX('DB(読み込みシート※編集厳禁)'!$A$3:$AH$501,MATCH($C32,'DB(読み込みシート※編集厳禁)'!$B$3:$B$501,0),MATCH(S$14,'DB(読み込みシート※編集厳禁)'!$A$2:$AH$2,0)),"")</f>
        <v>ホッシー</v>
      </c>
      <c r="T32" s="151" t="str">
        <f t="array" ref="T32">IFERROR(INDEX('DB(読み込みシート※編集厳禁)'!$A$3:$AH$501,MATCH($C32,'DB(読み込みシート※編集厳禁)'!$B$3:$B$501,0),MATCH(T$14,'DB(読み込みシート※編集厳禁)'!$A$2:$AH$2,0)),"")</f>
        <v>Ninja250</v>
      </c>
      <c r="U32" s="135">
        <v>157711.0</v>
      </c>
      <c r="V32" s="155"/>
      <c r="W32" s="137" t="s">
        <v>15</v>
      </c>
      <c r="X32" s="138" t="str">
        <f t="shared" si="15"/>
        <v>1</v>
      </c>
      <c r="Y32" s="139" t="str">
        <f t="shared" si="16"/>
        <v>57</v>
      </c>
      <c r="Z32" s="144" t="str">
        <f t="shared" si="17"/>
        <v>711</v>
      </c>
      <c r="AA32" s="1"/>
      <c r="AB32" s="41" t="s">
        <v>21</v>
      </c>
      <c r="AC32" s="41" t="s">
        <v>73</v>
      </c>
      <c r="AD32" s="41">
        <f t="shared" ref="AD32:AE32" si="49">AD21+$AC$26</f>
        <v>130000</v>
      </c>
      <c r="AE32" s="41">
        <f t="shared" si="49"/>
        <v>140000</v>
      </c>
      <c r="AF32" s="6"/>
      <c r="AG32" s="6">
        <f t="shared" si="18"/>
        <v>100000</v>
      </c>
      <c r="AH32" s="6">
        <f t="shared" si="19"/>
        <v>102016</v>
      </c>
      <c r="AI32" s="6" t="str">
        <f t="shared" si="20"/>
        <v>R-1</v>
      </c>
      <c r="AJ32" s="6"/>
      <c r="AK32" s="6" t="str">
        <f t="shared" si="21"/>
        <v/>
      </c>
      <c r="AL32" s="6"/>
      <c r="AM32" s="6"/>
      <c r="AN32" s="6"/>
      <c r="AO32" s="6"/>
      <c r="AP32" s="6"/>
      <c r="AQ32" s="7"/>
      <c r="AR32" s="69"/>
      <c r="AS32" s="69"/>
      <c r="AT32" s="39">
        <v>16.0</v>
      </c>
      <c r="AU32" s="69" t="str">
        <f t="array" ref="AU32">IFERROR(INDEX('DB(読み込みシート※編集厳禁)'!$A$3:$AH$501,MATCH($C32,'DB(読み込みシート※編集厳禁)'!$B$3:$B$501,0),MATCH(AU$16,'DB(読み込みシート※編集厳禁)'!$A$2:$AH$2,0)),"")</f>
        <v>はい</v>
      </c>
      <c r="AV32" s="69" t="str">
        <f t="array" ref="AV32">IFERROR(INDEX('DB(読み込みシート※編集厳禁)'!$A$3:$AH$501,MATCH($C32,'DB(読み込みシート※編集厳禁)'!$B$3:$B$501,0),MATCH(AV$16,'DB(読み込みシート※編集厳禁)'!$A$2:$AH$2,0)),"")</f>
        <v>いいえ</v>
      </c>
      <c r="AW32" s="69" t="str">
        <f t="shared" si="22"/>
        <v>2:00:341</v>
      </c>
      <c r="AX32" s="69" t="str">
        <f t="shared" si="23"/>
        <v>2:01:341</v>
      </c>
      <c r="AY32" s="69">
        <f t="shared" si="24"/>
        <v>1</v>
      </c>
      <c r="AZ32" s="69" t="str">
        <f t="shared" si="25"/>
        <v>1:57:711</v>
      </c>
      <c r="BA32" s="69" t="str">
        <f t="shared" si="26"/>
        <v>1:57:711</v>
      </c>
      <c r="BB32" s="69" t="str">
        <f t="shared" si="27"/>
        <v>-</v>
      </c>
      <c r="BC32" s="69" t="str">
        <f t="shared" si="28"/>
        <v>1:57:711</v>
      </c>
      <c r="BD32" s="70">
        <f t="shared" si="29"/>
        <v>1.20598119</v>
      </c>
      <c r="BE32" s="70">
        <f t="shared" si="30"/>
        <v>1.20598119</v>
      </c>
      <c r="BF32" s="147">
        <f t="shared" si="31"/>
        <v>121341</v>
      </c>
      <c r="BG32" s="147">
        <f t="shared" si="32"/>
        <v>117711</v>
      </c>
      <c r="BH32" s="1">
        <f t="shared" si="33"/>
        <v>117711</v>
      </c>
      <c r="BI32" s="1">
        <f t="shared" si="34"/>
        <v>11771116</v>
      </c>
      <c r="BJ32" s="1">
        <f t="shared" si="35"/>
        <v>600011771116</v>
      </c>
      <c r="BK32" s="1">
        <f t="shared" si="36"/>
        <v>117711</v>
      </c>
      <c r="BL32" s="1">
        <f t="shared" si="37"/>
        <v>34</v>
      </c>
      <c r="BM32" s="1" t="str">
        <f t="shared" si="38"/>
        <v>総合41</v>
      </c>
      <c r="BN32" s="1">
        <f t="shared" si="39"/>
        <v>1</v>
      </c>
      <c r="BO32" s="1" t="str">
        <f t="shared" si="40"/>
        <v>R1</v>
      </c>
      <c r="BP32" s="1">
        <f t="shared" si="41"/>
        <v>3</v>
      </c>
      <c r="BQ32" s="1" t="str">
        <f t="shared" si="42"/>
        <v>セパハン3</v>
      </c>
      <c r="BR32" s="1" t="str">
        <f t="shared" si="43"/>
        <v>-</v>
      </c>
      <c r="BS32" s="1" t="str">
        <f t="shared" si="44"/>
        <v>ミニ-</v>
      </c>
      <c r="BT32" s="1"/>
      <c r="BU32" s="1"/>
      <c r="BV32" s="1"/>
      <c r="BW32" s="1"/>
      <c r="BX32" s="1"/>
    </row>
    <row r="33">
      <c r="A33" s="1"/>
      <c r="B33" s="148" t="str">
        <f t="array" ref="B33">IFERROR(INDEX('DB(読み込みシート※編集厳禁)'!$A$3:$AH$501,MATCH($C33,'DB(読み込みシート※編集厳禁)'!$B$3:$B$501,0),MATCH(B$14,'DB(読み込みシート※編集厳禁)'!$A$2:$AH$2,0)),"")</f>
        <v>N</v>
      </c>
      <c r="C33" s="149">
        <v>17.0</v>
      </c>
      <c r="D33" s="150" t="str">
        <f t="array" ref="D33">IFERROR(INDEX('DB(読み込みシート※編集厳禁)'!$A$3:$AH$501,MATCH($C33,'DB(読み込みシート※編集厳禁)'!$B$3:$B$501,0),MATCH(D$14,'DB(読み込みシート※編集厳禁)'!$A$2:$AH$2,0)),"")</f>
        <v>オカピー</v>
      </c>
      <c r="E33" s="151" t="str">
        <f t="array" ref="E33">IFERROR(INDEX('DB(読み込みシート※編集厳禁)'!$A$3:$AH$501,MATCH($C33,'DB(読み込みシート※編集厳禁)'!$B$3:$B$501,0),MATCH(E$14,'DB(読み込みシート※編集厳禁)'!$A$2:$AH$2,0)),"")</f>
        <v>VTR</v>
      </c>
      <c r="F33" s="161" t="str">
        <f t="array" ref="F33">IFERROR(INDEX('DB(読み込みシート※編集厳禁)'!$A$3:$AH$501,MATCH($C33,'DB(読み込みシート※編集厳禁)'!$B$3:$B$501,0),MATCH(F$14,'DB(読み込みシート※編集厳禁)'!$A$2:$AH$2,0)),"")</f>
        <v>グレー</v>
      </c>
      <c r="G33" s="133" t="str">
        <f t="shared" si="8"/>
        <v>2:05:240</v>
      </c>
      <c r="H33" s="152" t="str">
        <f t="shared" si="9"/>
        <v>2:05:240</v>
      </c>
      <c r="I33" s="135">
        <v>205240.0</v>
      </c>
      <c r="J33" s="155"/>
      <c r="K33" s="137" t="s">
        <v>15</v>
      </c>
      <c r="L33" s="138" t="str">
        <f t="shared" si="10"/>
        <v>2</v>
      </c>
      <c r="M33" s="139" t="str">
        <f t="shared" si="11"/>
        <v>05</v>
      </c>
      <c r="N33" s="140" t="str">
        <f t="shared" si="12"/>
        <v>240</v>
      </c>
      <c r="O33" s="141" t="str">
        <f t="shared" si="13"/>
        <v>2:01:614</v>
      </c>
      <c r="P33" s="162" t="str">
        <f t="shared" si="14"/>
        <v>2:02:614</v>
      </c>
      <c r="Q33" s="148" t="str">
        <f t="array" ref="Q33">IFERROR(INDEX('DB(読み込みシート※編集厳禁)'!$A$3:$AH$501,MATCH($C33,'DB(読み込みシート※編集厳禁)'!$B$3:$B$501,0),MATCH(Q$14,'DB(読み込みシート※編集厳禁)'!$A$2:$AH$2,0)),"")</f>
        <v>N</v>
      </c>
      <c r="R33" s="149">
        <v>17.0</v>
      </c>
      <c r="S33" s="150" t="str">
        <f t="array" ref="S33">IFERROR(INDEX('DB(読み込みシート※編集厳禁)'!$A$3:$AH$501,MATCH($C33,'DB(読み込みシート※編集厳禁)'!$B$3:$B$501,0),MATCH(S$14,'DB(読み込みシート※編集厳禁)'!$A$2:$AH$2,0)),"")</f>
        <v>オカピー</v>
      </c>
      <c r="T33" s="151" t="str">
        <f t="array" ref="T33">IFERROR(INDEX('DB(読み込みシート※編集厳禁)'!$A$3:$AH$501,MATCH($C33,'DB(読み込みシート※編集厳禁)'!$B$3:$B$501,0),MATCH(T$14,'DB(読み込みシート※編集厳禁)'!$A$2:$AH$2,0)),"")</f>
        <v>VTR</v>
      </c>
      <c r="U33" s="135">
        <v>201614.0</v>
      </c>
      <c r="V33" s="156">
        <v>1.0</v>
      </c>
      <c r="W33" s="137" t="s">
        <v>15</v>
      </c>
      <c r="X33" s="138" t="str">
        <f t="shared" si="15"/>
        <v>2</v>
      </c>
      <c r="Y33" s="139" t="str">
        <f t="shared" si="16"/>
        <v>01</v>
      </c>
      <c r="Z33" s="144" t="str">
        <f t="shared" si="17"/>
        <v>614</v>
      </c>
      <c r="AA33" s="1"/>
      <c r="AB33" s="41" t="s">
        <v>21</v>
      </c>
      <c r="AC33" s="41" t="s">
        <v>71</v>
      </c>
      <c r="AD33" s="41">
        <f t="shared" ref="AD33:AE33" si="50">AD22+$AC$26</f>
        <v>140000</v>
      </c>
      <c r="AE33" s="41">
        <f t="shared" si="50"/>
        <v>150000</v>
      </c>
      <c r="AF33" s="6"/>
      <c r="AG33" s="6">
        <f t="shared" si="18"/>
        <v>110000</v>
      </c>
      <c r="AH33" s="6">
        <f t="shared" si="19"/>
        <v>112017</v>
      </c>
      <c r="AI33" s="6" t="str">
        <f t="shared" si="20"/>
        <v>N-5</v>
      </c>
      <c r="AJ33" s="6"/>
      <c r="AK33" s="6" t="str">
        <f t="shared" si="21"/>
        <v/>
      </c>
      <c r="AL33" s="6"/>
      <c r="AM33" s="6"/>
      <c r="AN33" s="6"/>
      <c r="AO33" s="6"/>
      <c r="AP33" s="6"/>
      <c r="AQ33" s="7"/>
      <c r="AR33" s="69"/>
      <c r="AS33" s="69"/>
      <c r="AT33" s="39">
        <v>17.0</v>
      </c>
      <c r="AU33" s="69" t="str">
        <f t="array" ref="AU33">IFERROR(INDEX('DB(読み込みシート※編集厳禁)'!$A$3:$AH$501,MATCH($C33,'DB(読み込みシート※編集厳禁)'!$B$3:$B$501,0),MATCH(AU$16,'DB(読み込みシート※編集厳禁)'!$A$2:$AH$2,0)),"")</f>
        <v>いいえ</v>
      </c>
      <c r="AV33" s="69" t="str">
        <f t="array" ref="AV33">IFERROR(INDEX('DB(読み込みシート※編集厳禁)'!$A$3:$AH$501,MATCH($C33,'DB(読み込みシート※編集厳禁)'!$B$3:$B$501,0),MATCH(AV$16,'DB(読み込みシート※編集厳禁)'!$A$2:$AH$2,0)),"")</f>
        <v>いいえ</v>
      </c>
      <c r="AW33" s="69" t="str">
        <f t="shared" si="22"/>
        <v>2:05:240</v>
      </c>
      <c r="AX33" s="69" t="str">
        <f t="shared" si="23"/>
        <v>2:05:240</v>
      </c>
      <c r="AY33" s="69" t="str">
        <f t="shared" si="24"/>
        <v>-</v>
      </c>
      <c r="AZ33" s="69" t="str">
        <f t="shared" si="25"/>
        <v>2:01:614</v>
      </c>
      <c r="BA33" s="69" t="str">
        <f t="shared" si="26"/>
        <v>2:02:614</v>
      </c>
      <c r="BB33" s="69">
        <f t="shared" si="27"/>
        <v>1</v>
      </c>
      <c r="BC33" s="69" t="str">
        <f t="shared" si="28"/>
        <v>2:02:614</v>
      </c>
      <c r="BD33" s="70">
        <f t="shared" si="29"/>
        <v>1.256213757</v>
      </c>
      <c r="BE33" s="70">
        <f t="shared" si="30"/>
        <v>1.256213757</v>
      </c>
      <c r="BF33" s="147">
        <f t="shared" si="31"/>
        <v>125240</v>
      </c>
      <c r="BG33" s="147">
        <f t="shared" si="32"/>
        <v>122614</v>
      </c>
      <c r="BH33" s="1">
        <f t="shared" si="33"/>
        <v>122614</v>
      </c>
      <c r="BI33" s="1">
        <f t="shared" si="34"/>
        <v>12261417</v>
      </c>
      <c r="BJ33" s="1">
        <f t="shared" si="35"/>
        <v>700012261417</v>
      </c>
      <c r="BK33" s="1">
        <f t="shared" si="36"/>
        <v>122614</v>
      </c>
      <c r="BL33" s="1">
        <f t="shared" si="37"/>
        <v>42</v>
      </c>
      <c r="BM33" s="1" t="str">
        <f t="shared" si="38"/>
        <v>総合48</v>
      </c>
      <c r="BN33" s="1">
        <f t="shared" si="39"/>
        <v>5</v>
      </c>
      <c r="BO33" s="1" t="str">
        <f t="shared" si="40"/>
        <v>N5</v>
      </c>
      <c r="BP33" s="1" t="str">
        <f t="shared" si="41"/>
        <v>-</v>
      </c>
      <c r="BQ33" s="1" t="str">
        <f t="shared" si="42"/>
        <v>セパハン-</v>
      </c>
      <c r="BR33" s="1" t="str">
        <f t="shared" si="43"/>
        <v>-</v>
      </c>
      <c r="BS33" s="1" t="str">
        <f t="shared" si="44"/>
        <v>ミニ-</v>
      </c>
      <c r="BT33" s="1"/>
      <c r="BU33" s="1"/>
      <c r="BV33" s="1"/>
      <c r="BW33" s="1"/>
      <c r="BX33" s="1"/>
    </row>
    <row r="34">
      <c r="A34" s="1"/>
      <c r="B34" s="148" t="str">
        <f t="array" ref="B34">IFERROR(INDEX('DB(読み込みシート※編集厳禁)'!$A$3:$AH$501,MATCH($C34,'DB(読み込みシート※編集厳禁)'!$B$3:$B$501,0),MATCH(B$14,'DB(読み込みシート※編集厳禁)'!$A$2:$AH$2,0)),"")</f>
        <v>N</v>
      </c>
      <c r="C34" s="149">
        <v>18.0</v>
      </c>
      <c r="D34" s="163" t="str">
        <f t="array" ref="D34">IFERROR(INDEX('DB(読み込みシート※編集厳禁)'!$A$3:$AH$501,MATCH($C34,'DB(読み込みシート※編集厳禁)'!$B$3:$B$501,0),MATCH(D$14,'DB(読み込みシート※編集厳禁)'!$A$2:$AH$2,0)),"")</f>
        <v>みつい</v>
      </c>
      <c r="E34" s="164" t="str">
        <f t="array" ref="E34">IFERROR(INDEX('DB(読み込みシート※編集厳禁)'!$A$3:$AH$501,MATCH($C34,'DB(読み込みシート※編集厳禁)'!$B$3:$B$501,0),MATCH(E$14,'DB(読み込みシート※編集厳禁)'!$A$2:$AH$2,0)),"")</f>
        <v>GSX250R</v>
      </c>
      <c r="F34" s="165" t="str">
        <f t="array" ref="F34">IFERROR(INDEX('DB(読み込みシート※編集厳禁)'!$A$3:$AH$501,MATCH($C34,'DB(読み込みシート※編集厳禁)'!$B$3:$B$501,0),MATCH(F$14,'DB(読み込みシート※編集厳禁)'!$A$2:$AH$2,0)),"")</f>
        <v>白/黒</v>
      </c>
      <c r="G34" s="133" t="str">
        <f t="shared" si="8"/>
        <v>1:57:304</v>
      </c>
      <c r="H34" s="152" t="str">
        <f t="shared" si="9"/>
        <v>1:57:304</v>
      </c>
      <c r="I34" s="135">
        <v>157304.0</v>
      </c>
      <c r="J34" s="166"/>
      <c r="K34" s="137" t="s">
        <v>15</v>
      </c>
      <c r="L34" s="138" t="str">
        <f t="shared" si="10"/>
        <v>1</v>
      </c>
      <c r="M34" s="139" t="str">
        <f t="shared" si="11"/>
        <v>57</v>
      </c>
      <c r="N34" s="140" t="str">
        <f t="shared" si="12"/>
        <v>304</v>
      </c>
      <c r="O34" s="141" t="str">
        <f t="shared" si="13"/>
        <v>1:57:244</v>
      </c>
      <c r="P34" s="162" t="str">
        <f t="shared" si="14"/>
        <v>1:58:244</v>
      </c>
      <c r="Q34" s="148" t="str">
        <f t="array" ref="Q34">IFERROR(INDEX('DB(読み込みシート※編集厳禁)'!$A$3:$AH$501,MATCH($C34,'DB(読み込みシート※編集厳禁)'!$B$3:$B$501,0),MATCH(Q$14,'DB(読み込みシート※編集厳禁)'!$A$2:$AH$2,0)),"")</f>
        <v>N</v>
      </c>
      <c r="R34" s="149">
        <v>18.0</v>
      </c>
      <c r="S34" s="163" t="str">
        <f t="array" ref="S34">IFERROR(INDEX('DB(読み込みシート※編集厳禁)'!$A$3:$AH$501,MATCH($C34,'DB(読み込みシート※編集厳禁)'!$B$3:$B$501,0),MATCH(S$14,'DB(読み込みシート※編集厳禁)'!$A$2:$AH$2,0)),"")</f>
        <v>みつい</v>
      </c>
      <c r="T34" s="164" t="str">
        <f t="array" ref="T34">IFERROR(INDEX('DB(読み込みシート※編集厳禁)'!$A$3:$AH$501,MATCH($C34,'DB(読み込みシート※編集厳禁)'!$B$3:$B$501,0),MATCH(T$14,'DB(読み込みシート※編集厳禁)'!$A$2:$AH$2,0)),"")</f>
        <v>GSX250R</v>
      </c>
      <c r="U34" s="135">
        <v>157244.0</v>
      </c>
      <c r="V34" s="166">
        <v>1.0</v>
      </c>
      <c r="W34" s="137" t="s">
        <v>15</v>
      </c>
      <c r="X34" s="138" t="str">
        <f t="shared" si="15"/>
        <v>1</v>
      </c>
      <c r="Y34" s="139" t="str">
        <f t="shared" si="16"/>
        <v>57</v>
      </c>
      <c r="Z34" s="144" t="str">
        <f t="shared" si="17"/>
        <v>244</v>
      </c>
      <c r="AA34" s="1"/>
      <c r="AB34" s="41" t="s">
        <v>21</v>
      </c>
      <c r="AC34" s="41" t="s">
        <v>69</v>
      </c>
      <c r="AD34" s="41">
        <f t="shared" ref="AD34:AE34" si="51">AD23+$AC$26</f>
        <v>150000</v>
      </c>
      <c r="AE34" s="41">
        <f t="shared" si="51"/>
        <v>160000</v>
      </c>
      <c r="AF34" s="6"/>
      <c r="AG34" s="6">
        <f t="shared" si="18"/>
        <v>110000</v>
      </c>
      <c r="AH34" s="6">
        <f t="shared" si="19"/>
        <v>112018</v>
      </c>
      <c r="AI34" s="6" t="str">
        <f t="shared" si="20"/>
        <v>N-3</v>
      </c>
      <c r="AJ34" s="6"/>
      <c r="AK34" s="6" t="str">
        <f t="shared" si="21"/>
        <v/>
      </c>
      <c r="AL34" s="6"/>
      <c r="AM34" s="6"/>
      <c r="AN34" s="6"/>
      <c r="AO34" s="6"/>
      <c r="AP34" s="6"/>
      <c r="AQ34" s="7"/>
      <c r="AR34" s="69"/>
      <c r="AS34" s="69"/>
      <c r="AT34" s="39">
        <v>18.0</v>
      </c>
      <c r="AU34" s="69" t="str">
        <f t="array" ref="AU34">IFERROR(INDEX('DB(読み込みシート※編集厳禁)'!$A$3:$AH$501,MATCH($C34,'DB(読み込みシート※編集厳禁)'!$B$3:$B$501,0),MATCH(AU$16,'DB(読み込みシート※編集厳禁)'!$A$2:$AH$2,0)),"")</f>
        <v>いいえ</v>
      </c>
      <c r="AV34" s="69" t="str">
        <f t="array" ref="AV34">IFERROR(INDEX('DB(読み込みシート※編集厳禁)'!$A$3:$AH$501,MATCH($C34,'DB(読み込みシート※編集厳禁)'!$B$3:$B$501,0),MATCH(AV$16,'DB(読み込みシート※編集厳禁)'!$A$2:$AH$2,0)),"")</f>
        <v>いいえ</v>
      </c>
      <c r="AW34" s="69" t="str">
        <f t="shared" si="22"/>
        <v>1:57:304</v>
      </c>
      <c r="AX34" s="69" t="str">
        <f t="shared" si="23"/>
        <v>1:57:304</v>
      </c>
      <c r="AY34" s="69" t="str">
        <f t="shared" si="24"/>
        <v>-</v>
      </c>
      <c r="AZ34" s="69" t="str">
        <f t="shared" si="25"/>
        <v>1:57:244</v>
      </c>
      <c r="BA34" s="69" t="str">
        <f t="shared" si="26"/>
        <v>1:58:244</v>
      </c>
      <c r="BB34" s="69">
        <f t="shared" si="27"/>
        <v>1</v>
      </c>
      <c r="BC34" s="69" t="str">
        <f t="shared" si="28"/>
        <v>1:57:304</v>
      </c>
      <c r="BD34" s="70">
        <f t="shared" si="29"/>
        <v>1.201811364</v>
      </c>
      <c r="BE34" s="70">
        <f t="shared" si="30"/>
        <v>1.201811364</v>
      </c>
      <c r="BF34" s="147">
        <f t="shared" si="31"/>
        <v>117304</v>
      </c>
      <c r="BG34" s="147">
        <f t="shared" si="32"/>
        <v>118244</v>
      </c>
      <c r="BH34" s="1">
        <f t="shared" si="33"/>
        <v>117304</v>
      </c>
      <c r="BI34" s="1">
        <f t="shared" si="34"/>
        <v>11730418</v>
      </c>
      <c r="BJ34" s="1">
        <f t="shared" si="35"/>
        <v>700011730418</v>
      </c>
      <c r="BK34" s="1">
        <f t="shared" si="36"/>
        <v>117304</v>
      </c>
      <c r="BL34" s="1">
        <f t="shared" si="37"/>
        <v>33</v>
      </c>
      <c r="BM34" s="1" t="str">
        <f t="shared" si="38"/>
        <v>総合46</v>
      </c>
      <c r="BN34" s="1">
        <f t="shared" si="39"/>
        <v>3</v>
      </c>
      <c r="BO34" s="1" t="str">
        <f t="shared" si="40"/>
        <v>N3</v>
      </c>
      <c r="BP34" s="1" t="str">
        <f t="shared" si="41"/>
        <v>-</v>
      </c>
      <c r="BQ34" s="1" t="str">
        <f t="shared" si="42"/>
        <v>セパハン-</v>
      </c>
      <c r="BR34" s="1" t="str">
        <f t="shared" si="43"/>
        <v>-</v>
      </c>
      <c r="BS34" s="1" t="str">
        <f t="shared" si="44"/>
        <v>ミニ-</v>
      </c>
      <c r="BT34" s="1"/>
      <c r="BU34" s="1"/>
      <c r="BV34" s="1"/>
      <c r="BW34" s="1"/>
      <c r="BX34" s="1"/>
    </row>
    <row r="35">
      <c r="A35" s="1"/>
      <c r="B35" s="148" t="str">
        <f t="array" ref="B35">IFERROR(INDEX('DB(読み込みシート※編集厳禁)'!$A$3:$AH$501,MATCH($C35,'DB(読み込みシート※編集厳禁)'!$B$3:$B$501,0),MATCH(B$14,'DB(読み込みシート※編集厳禁)'!$A$2:$AH$2,0)),"")</f>
        <v>N</v>
      </c>
      <c r="C35" s="149">
        <v>19.0</v>
      </c>
      <c r="D35" s="163" t="str">
        <f t="array" ref="D35">IFERROR(INDEX('DB(読み込みシート※編集厳禁)'!$A$3:$AH$501,MATCH($C35,'DB(読み込みシート※編集厳禁)'!$B$3:$B$501,0),MATCH(D$14,'DB(読み込みシート※編集厳禁)'!$A$2:$AH$2,0)),"")</f>
        <v>グチ</v>
      </c>
      <c r="E35" s="164" t="str">
        <f t="array" ref="E35">IFERROR(INDEX('DB(読み込みシート※編集厳禁)'!$A$3:$AH$501,MATCH($C35,'DB(読み込みシート※編集厳禁)'!$B$3:$B$501,0),MATCH(E$14,'DB(読み込みシート※編集厳禁)'!$A$2:$AH$2,0)),"")</f>
        <v>R1250GS</v>
      </c>
      <c r="F35" s="165" t="str">
        <f t="array" ref="F35">IFERROR(INDEX('DB(読み込みシート※編集厳禁)'!$A$3:$AH$501,MATCH($C35,'DB(読み込みシート※編集厳禁)'!$B$3:$B$501,0),MATCH(F$14,'DB(読み込みシート※編集厳禁)'!$A$2:$AH$2,0)),"")</f>
        <v>グレー</v>
      </c>
      <c r="G35" s="133" t="str">
        <f t="shared" si="8"/>
        <v>2:20:385</v>
      </c>
      <c r="H35" s="152" t="str">
        <f t="shared" si="9"/>
        <v>2:26:385</v>
      </c>
      <c r="I35" s="135">
        <v>220385.0</v>
      </c>
      <c r="J35" s="166">
        <v>6.0</v>
      </c>
      <c r="K35" s="137" t="s">
        <v>15</v>
      </c>
      <c r="L35" s="138" t="str">
        <f t="shared" si="10"/>
        <v>2</v>
      </c>
      <c r="M35" s="139" t="str">
        <f t="shared" si="11"/>
        <v>20</v>
      </c>
      <c r="N35" s="140" t="str">
        <f t="shared" si="12"/>
        <v>385</v>
      </c>
      <c r="O35" s="141" t="str">
        <f t="shared" si="13"/>
        <v>2:16:797</v>
      </c>
      <c r="P35" s="162" t="str">
        <f t="shared" si="14"/>
        <v>2:16:797</v>
      </c>
      <c r="Q35" s="148" t="str">
        <f t="array" ref="Q35">IFERROR(INDEX('DB(読み込みシート※編集厳禁)'!$A$3:$AH$501,MATCH($C35,'DB(読み込みシート※編集厳禁)'!$B$3:$B$501,0),MATCH(Q$14,'DB(読み込みシート※編集厳禁)'!$A$2:$AH$2,0)),"")</f>
        <v>N</v>
      </c>
      <c r="R35" s="149">
        <v>19.0</v>
      </c>
      <c r="S35" s="163" t="str">
        <f t="array" ref="S35">IFERROR(INDEX('DB(読み込みシート※編集厳禁)'!$A$3:$AH$501,MATCH($C35,'DB(読み込みシート※編集厳禁)'!$B$3:$B$501,0),MATCH(S$14,'DB(読み込みシート※編集厳禁)'!$A$2:$AH$2,0)),"")</f>
        <v>グチ</v>
      </c>
      <c r="T35" s="164" t="str">
        <f t="array" ref="T35">IFERROR(INDEX('DB(読み込みシート※編集厳禁)'!$A$3:$AH$501,MATCH($C35,'DB(読み込みシート※編集厳禁)'!$B$3:$B$501,0),MATCH(T$14,'DB(読み込みシート※編集厳禁)'!$A$2:$AH$2,0)),"")</f>
        <v>R1250GS</v>
      </c>
      <c r="U35" s="135">
        <v>216797.0</v>
      </c>
      <c r="V35" s="166"/>
      <c r="W35" s="137" t="s">
        <v>15</v>
      </c>
      <c r="X35" s="138" t="str">
        <f t="shared" si="15"/>
        <v>2</v>
      </c>
      <c r="Y35" s="139" t="str">
        <f t="shared" si="16"/>
        <v>16</v>
      </c>
      <c r="Z35" s="144" t="str">
        <f t="shared" si="17"/>
        <v>797</v>
      </c>
      <c r="AA35" s="1"/>
      <c r="AB35" s="41" t="s">
        <v>21</v>
      </c>
      <c r="AC35" s="41" t="s">
        <v>67</v>
      </c>
      <c r="AD35" s="41">
        <f t="shared" ref="AD35:AE35" si="52">AD24+$AC$26</f>
        <v>160000</v>
      </c>
      <c r="AE35" s="41">
        <f t="shared" si="52"/>
        <v>170000</v>
      </c>
      <c r="AF35" s="6"/>
      <c r="AG35" s="6">
        <f t="shared" si="18"/>
        <v>110000</v>
      </c>
      <c r="AH35" s="6">
        <f t="shared" si="19"/>
        <v>112019</v>
      </c>
      <c r="AI35" s="6" t="str">
        <f t="shared" si="20"/>
        <v>N-7</v>
      </c>
      <c r="AJ35" s="6"/>
      <c r="AK35" s="6" t="str">
        <f t="shared" si="21"/>
        <v/>
      </c>
      <c r="AL35" s="6"/>
      <c r="AM35" s="6"/>
      <c r="AN35" s="6"/>
      <c r="AO35" s="6"/>
      <c r="AP35" s="6"/>
      <c r="AQ35" s="7"/>
      <c r="AR35" s="69"/>
      <c r="AS35" s="69"/>
      <c r="AT35" s="39">
        <v>19.0</v>
      </c>
      <c r="AU35" s="69" t="str">
        <f t="array" ref="AU35">IFERROR(INDEX('DB(読み込みシート※編集厳禁)'!$A$3:$AH$501,MATCH($C35,'DB(読み込みシート※編集厳禁)'!$B$3:$B$501,0),MATCH(AU$16,'DB(読み込みシート※編集厳禁)'!$A$2:$AH$2,0)),"")</f>
        <v>いいえ</v>
      </c>
      <c r="AV35" s="69" t="str">
        <f t="array" ref="AV35">IFERROR(INDEX('DB(読み込みシート※編集厳禁)'!$A$3:$AH$501,MATCH($C35,'DB(読み込みシート※編集厳禁)'!$B$3:$B$501,0),MATCH(AV$16,'DB(読み込みシート※編集厳禁)'!$A$2:$AH$2,0)),"")</f>
        <v>いいえ</v>
      </c>
      <c r="AW35" s="69" t="str">
        <f t="shared" si="22"/>
        <v>2:20:385</v>
      </c>
      <c r="AX35" s="69" t="str">
        <f t="shared" si="23"/>
        <v>2:26:385</v>
      </c>
      <c r="AY35" s="69">
        <f t="shared" si="24"/>
        <v>6</v>
      </c>
      <c r="AZ35" s="69" t="str">
        <f t="shared" si="25"/>
        <v>2:16:797</v>
      </c>
      <c r="BA35" s="69" t="str">
        <f t="shared" si="26"/>
        <v>2:16:797</v>
      </c>
      <c r="BB35" s="69" t="str">
        <f t="shared" si="27"/>
        <v>-</v>
      </c>
      <c r="BC35" s="69" t="str">
        <f t="shared" si="28"/>
        <v>2:16:797</v>
      </c>
      <c r="BD35" s="70">
        <f t="shared" si="29"/>
        <v>1.401522447</v>
      </c>
      <c r="BE35" s="70">
        <f t="shared" si="30"/>
        <v>1.401522447</v>
      </c>
      <c r="BF35" s="147">
        <f t="shared" si="31"/>
        <v>146385</v>
      </c>
      <c r="BG35" s="147">
        <f t="shared" si="32"/>
        <v>136797</v>
      </c>
      <c r="BH35" s="1">
        <f t="shared" si="33"/>
        <v>136797</v>
      </c>
      <c r="BI35" s="1">
        <f t="shared" si="34"/>
        <v>13679719</v>
      </c>
      <c r="BJ35" s="1">
        <f t="shared" si="35"/>
        <v>700013679719</v>
      </c>
      <c r="BK35" s="1">
        <f t="shared" si="36"/>
        <v>136797</v>
      </c>
      <c r="BL35" s="1">
        <f t="shared" si="37"/>
        <v>46</v>
      </c>
      <c r="BM35" s="1" t="str">
        <f t="shared" si="38"/>
        <v>総合50</v>
      </c>
      <c r="BN35" s="1">
        <f t="shared" si="39"/>
        <v>7</v>
      </c>
      <c r="BO35" s="1" t="str">
        <f t="shared" si="40"/>
        <v>N7</v>
      </c>
      <c r="BP35" s="1" t="str">
        <f t="shared" si="41"/>
        <v>-</v>
      </c>
      <c r="BQ35" s="1" t="str">
        <f t="shared" si="42"/>
        <v>セパハン-</v>
      </c>
      <c r="BR35" s="1" t="str">
        <f t="shared" si="43"/>
        <v>-</v>
      </c>
      <c r="BS35" s="1" t="str">
        <f t="shared" si="44"/>
        <v>ミニ-</v>
      </c>
      <c r="BT35" s="1"/>
      <c r="BU35" s="1"/>
      <c r="BV35" s="1"/>
      <c r="BW35" s="1"/>
      <c r="BX35" s="1"/>
    </row>
    <row r="36">
      <c r="A36" s="1"/>
      <c r="B36" s="148" t="str">
        <f t="array" ref="B36">IFERROR(INDEX('DB(読み込みシート※編集厳禁)'!$A$3:$AH$501,MATCH($C36,'DB(読み込みシート※編集厳禁)'!$B$3:$B$501,0),MATCH(B$14,'DB(読み込みシート※編集厳禁)'!$A$2:$AH$2,0)),"")</f>
        <v>N</v>
      </c>
      <c r="C36" s="149">
        <v>20.0</v>
      </c>
      <c r="D36" s="163" t="str">
        <f t="array" ref="D36">IFERROR(INDEX('DB(読み込みシート※編集厳禁)'!$A$3:$AH$501,MATCH($C36,'DB(読み込みシート※編集厳禁)'!$B$3:$B$501,0),MATCH(D$14,'DB(読み込みシート※編集厳禁)'!$A$2:$AH$2,0)),"")</f>
        <v>S hin</v>
      </c>
      <c r="E36" s="164" t="str">
        <f t="array" ref="E36">IFERROR(INDEX('DB(読み込みシート※編集厳禁)'!$A$3:$AH$501,MATCH($C36,'DB(読み込みシート※編集厳禁)'!$B$3:$B$501,0),MATCH(E$14,'DB(読み込みシート※編集厳禁)'!$A$2:$AH$2,0)),"")</f>
        <v>GROM</v>
      </c>
      <c r="F36" s="165" t="str">
        <f t="array" ref="F36">IFERROR(INDEX('DB(読み込みシート※編集厳禁)'!$A$3:$AH$501,MATCH($C36,'DB(読み込みシート※編集厳禁)'!$B$3:$B$501,0),MATCH(F$14,'DB(読み込みシート※編集厳禁)'!$A$2:$AH$2,0)),"")</f>
        <v>白</v>
      </c>
      <c r="G36" s="133" t="str">
        <f t="shared" si="8"/>
        <v>1:58:934</v>
      </c>
      <c r="H36" s="152" t="str">
        <f t="shared" si="9"/>
        <v>1:58:934</v>
      </c>
      <c r="I36" s="135">
        <v>158934.0</v>
      </c>
      <c r="J36" s="166"/>
      <c r="K36" s="137" t="s">
        <v>15</v>
      </c>
      <c r="L36" s="138" t="str">
        <f t="shared" si="10"/>
        <v>1</v>
      </c>
      <c r="M36" s="139" t="str">
        <f t="shared" si="11"/>
        <v>58</v>
      </c>
      <c r="N36" s="140" t="str">
        <f t="shared" si="12"/>
        <v>934</v>
      </c>
      <c r="O36" s="141" t="str">
        <f t="shared" si="13"/>
        <v>1:55:826</v>
      </c>
      <c r="P36" s="162" t="str">
        <f t="shared" si="14"/>
        <v>1:56:826</v>
      </c>
      <c r="Q36" s="148" t="str">
        <f t="array" ref="Q36">IFERROR(INDEX('DB(読み込みシート※編集厳禁)'!$A$3:$AH$501,MATCH($C36,'DB(読み込みシート※編集厳禁)'!$B$3:$B$501,0),MATCH(Q$14,'DB(読み込みシート※編集厳禁)'!$A$2:$AH$2,0)),"")</f>
        <v>N</v>
      </c>
      <c r="R36" s="149">
        <v>20.0</v>
      </c>
      <c r="S36" s="163" t="str">
        <f t="array" ref="S36">IFERROR(INDEX('DB(読み込みシート※編集厳禁)'!$A$3:$AH$501,MATCH($C36,'DB(読み込みシート※編集厳禁)'!$B$3:$B$501,0),MATCH(S$14,'DB(読み込みシート※編集厳禁)'!$A$2:$AH$2,0)),"")</f>
        <v>S hin</v>
      </c>
      <c r="T36" s="164" t="str">
        <f t="array" ref="T36">IFERROR(INDEX('DB(読み込みシート※編集厳禁)'!$A$3:$AH$501,MATCH($C36,'DB(読み込みシート※編集厳禁)'!$B$3:$B$501,0),MATCH(T$14,'DB(読み込みシート※編集厳禁)'!$A$2:$AH$2,0)),"")</f>
        <v>GROM</v>
      </c>
      <c r="U36" s="135">
        <v>155826.0</v>
      </c>
      <c r="V36" s="166">
        <v>1.0</v>
      </c>
      <c r="W36" s="137" t="s">
        <v>15</v>
      </c>
      <c r="X36" s="138" t="str">
        <f t="shared" si="15"/>
        <v>1</v>
      </c>
      <c r="Y36" s="139" t="str">
        <f t="shared" si="16"/>
        <v>55</v>
      </c>
      <c r="Z36" s="144" t="str">
        <f t="shared" si="17"/>
        <v>826</v>
      </c>
      <c r="AA36" s="1"/>
      <c r="AB36" s="6"/>
      <c r="AC36" s="6"/>
      <c r="AD36" s="6"/>
      <c r="AE36" s="6"/>
      <c r="AF36" s="6"/>
      <c r="AG36" s="6">
        <f t="shared" si="18"/>
        <v>110000</v>
      </c>
      <c r="AH36" s="6">
        <f t="shared" si="19"/>
        <v>112020</v>
      </c>
      <c r="AI36" s="6" t="str">
        <f t="shared" si="20"/>
        <v>N-2</v>
      </c>
      <c r="AJ36" s="6"/>
      <c r="AK36" s="6" t="str">
        <f t="shared" si="21"/>
        <v/>
      </c>
      <c r="AL36" s="6"/>
      <c r="AM36" s="6"/>
      <c r="AN36" s="6"/>
      <c r="AO36" s="6"/>
      <c r="AP36" s="6"/>
      <c r="AQ36" s="7"/>
      <c r="AR36" s="69"/>
      <c r="AS36" s="69"/>
      <c r="AT36" s="39">
        <v>20.0</v>
      </c>
      <c r="AU36" s="69" t="str">
        <f t="array" ref="AU36">IFERROR(INDEX('DB(読み込みシート※編集厳禁)'!$A$3:$AH$501,MATCH($C36,'DB(読み込みシート※編集厳禁)'!$B$3:$B$501,0),MATCH(AU$16,'DB(読み込みシート※編集厳禁)'!$A$2:$AH$2,0)),"")</f>
        <v>いいえ</v>
      </c>
      <c r="AV36" s="69" t="str">
        <f t="array" ref="AV36">IFERROR(INDEX('DB(読み込みシート※編集厳禁)'!$A$3:$AH$501,MATCH($C36,'DB(読み込みシート※編集厳禁)'!$B$3:$B$501,0),MATCH(AV$16,'DB(読み込みシート※編集厳禁)'!$A$2:$AH$2,0)),"")</f>
        <v>はい</v>
      </c>
      <c r="AW36" s="69" t="str">
        <f t="shared" si="22"/>
        <v>1:58:934</v>
      </c>
      <c r="AX36" s="69" t="str">
        <f t="shared" si="23"/>
        <v>1:58:934</v>
      </c>
      <c r="AY36" s="69" t="str">
        <f t="shared" si="24"/>
        <v>-</v>
      </c>
      <c r="AZ36" s="69" t="str">
        <f t="shared" si="25"/>
        <v>1:55:826</v>
      </c>
      <c r="BA36" s="69" t="str">
        <f t="shared" si="26"/>
        <v>1:56:826</v>
      </c>
      <c r="BB36" s="69">
        <f t="shared" si="27"/>
        <v>1</v>
      </c>
      <c r="BC36" s="69" t="str">
        <f t="shared" si="28"/>
        <v>1:56:826</v>
      </c>
      <c r="BD36" s="70">
        <f t="shared" si="29"/>
        <v>1.196914124</v>
      </c>
      <c r="BE36" s="70">
        <f t="shared" si="30"/>
        <v>1.196914124</v>
      </c>
      <c r="BF36" s="147">
        <f t="shared" si="31"/>
        <v>118934</v>
      </c>
      <c r="BG36" s="147">
        <f t="shared" si="32"/>
        <v>116826</v>
      </c>
      <c r="BH36" s="1">
        <f t="shared" si="33"/>
        <v>116826</v>
      </c>
      <c r="BI36" s="1">
        <f t="shared" si="34"/>
        <v>11682620</v>
      </c>
      <c r="BJ36" s="1">
        <f t="shared" si="35"/>
        <v>700011682620</v>
      </c>
      <c r="BK36" s="1">
        <f t="shared" si="36"/>
        <v>116826</v>
      </c>
      <c r="BL36" s="1">
        <f t="shared" si="37"/>
        <v>32</v>
      </c>
      <c r="BM36" s="1" t="str">
        <f t="shared" si="38"/>
        <v>総合45</v>
      </c>
      <c r="BN36" s="1">
        <f t="shared" si="39"/>
        <v>2</v>
      </c>
      <c r="BO36" s="1" t="str">
        <f t="shared" si="40"/>
        <v>N2</v>
      </c>
      <c r="BP36" s="1" t="str">
        <f t="shared" si="41"/>
        <v>-</v>
      </c>
      <c r="BQ36" s="1" t="str">
        <f t="shared" si="42"/>
        <v>セパハン-</v>
      </c>
      <c r="BR36" s="1">
        <f t="shared" si="43"/>
        <v>2</v>
      </c>
      <c r="BS36" s="1" t="str">
        <f t="shared" si="44"/>
        <v>ミニ2</v>
      </c>
      <c r="BT36" s="1"/>
      <c r="BU36" s="1"/>
      <c r="BV36" s="1"/>
      <c r="BW36" s="1"/>
      <c r="BX36" s="1"/>
    </row>
    <row r="37">
      <c r="A37" s="1"/>
      <c r="B37" s="148" t="str">
        <f t="array" ref="B37">IFERROR(INDEX('DB(読み込みシート※編集厳禁)'!$A$3:$AH$501,MATCH($C37,'DB(読み込みシート※編集厳禁)'!$B$3:$B$501,0),MATCH(B$14,'DB(読み込みシート※編集厳禁)'!$A$2:$AH$2,0)),"")</f>
        <v>N</v>
      </c>
      <c r="C37" s="149">
        <v>21.0</v>
      </c>
      <c r="D37" s="163" t="str">
        <f t="array" ref="D37">IFERROR(INDEX('DB(読み込みシート※編集厳禁)'!$A$3:$AH$501,MATCH($C37,'DB(読み込みシート※編集厳禁)'!$B$3:$B$501,0),MATCH(D$14,'DB(読み込みシート※編集厳禁)'!$A$2:$AH$2,0)),"")</f>
        <v>EK9</v>
      </c>
      <c r="E37" s="164" t="str">
        <f t="array" ref="E37">IFERROR(INDEX('DB(読み込みシート※編集厳禁)'!$A$3:$AH$501,MATCH($C37,'DB(読み込みシート※編集厳禁)'!$B$3:$B$501,0),MATCH(E$14,'DB(読み込みシート※編集厳禁)'!$A$2:$AH$2,0)),"")</f>
        <v>NSR250</v>
      </c>
      <c r="F37" s="165" t="str">
        <f t="array" ref="F37">IFERROR(INDEX('DB(読み込みシート※編集厳禁)'!$A$3:$AH$501,MATCH($C37,'DB(読み込みシート※編集厳禁)'!$B$3:$B$501,0),MATCH(F$14,'DB(読み込みシート※編集厳禁)'!$A$2:$AH$2,0)),"")</f>
        <v>赤/白</v>
      </c>
      <c r="G37" s="133" t="str">
        <f t="shared" si="8"/>
        <v>2:40:692</v>
      </c>
      <c r="H37" s="152" t="str">
        <f t="shared" si="9"/>
        <v>2:40:692</v>
      </c>
      <c r="I37" s="135">
        <v>240692.0</v>
      </c>
      <c r="J37" s="166"/>
      <c r="K37" s="137" t="s">
        <v>15</v>
      </c>
      <c r="L37" s="138" t="str">
        <f t="shared" si="10"/>
        <v>2</v>
      </c>
      <c r="M37" s="139" t="str">
        <f t="shared" si="11"/>
        <v>40</v>
      </c>
      <c r="N37" s="140" t="str">
        <f t="shared" si="12"/>
        <v>692</v>
      </c>
      <c r="O37" s="141" t="str">
        <f t="shared" si="13"/>
        <v>2:30:194</v>
      </c>
      <c r="P37" s="162" t="str">
        <f t="shared" si="14"/>
        <v>2:30:194</v>
      </c>
      <c r="Q37" s="148" t="str">
        <f t="array" ref="Q37">IFERROR(INDEX('DB(読み込みシート※編集厳禁)'!$A$3:$AH$501,MATCH($C37,'DB(読み込みシート※編集厳禁)'!$B$3:$B$501,0),MATCH(Q$14,'DB(読み込みシート※編集厳禁)'!$A$2:$AH$2,0)),"")</f>
        <v>N</v>
      </c>
      <c r="R37" s="149">
        <v>21.0</v>
      </c>
      <c r="S37" s="163" t="str">
        <f t="array" ref="S37">IFERROR(INDEX('DB(読み込みシート※編集厳禁)'!$A$3:$AH$501,MATCH($C37,'DB(読み込みシート※編集厳禁)'!$B$3:$B$501,0),MATCH(S$14,'DB(読み込みシート※編集厳禁)'!$A$2:$AH$2,0)),"")</f>
        <v>EK9</v>
      </c>
      <c r="T37" s="164" t="str">
        <f t="array" ref="T37">IFERROR(INDEX('DB(読み込みシート※編集厳禁)'!$A$3:$AH$501,MATCH($C37,'DB(読み込みシート※編集厳禁)'!$B$3:$B$501,0),MATCH(T$14,'DB(読み込みシート※編集厳禁)'!$A$2:$AH$2,0)),"")</f>
        <v>NSR250</v>
      </c>
      <c r="U37" s="135">
        <v>230194.0</v>
      </c>
      <c r="V37" s="166"/>
      <c r="W37" s="137" t="s">
        <v>15</v>
      </c>
      <c r="X37" s="138" t="str">
        <f t="shared" si="15"/>
        <v>2</v>
      </c>
      <c r="Y37" s="139" t="str">
        <f t="shared" si="16"/>
        <v>30</v>
      </c>
      <c r="Z37" s="144" t="str">
        <f t="shared" si="17"/>
        <v>194</v>
      </c>
      <c r="AA37" s="1"/>
      <c r="AB37" s="6"/>
      <c r="AC37" s="6"/>
      <c r="AD37" s="6"/>
      <c r="AE37" s="6"/>
      <c r="AF37" s="6"/>
      <c r="AG37" s="6">
        <f t="shared" si="18"/>
        <v>110000</v>
      </c>
      <c r="AH37" s="6">
        <f t="shared" si="19"/>
        <v>112021</v>
      </c>
      <c r="AI37" s="6" t="str">
        <f t="shared" si="20"/>
        <v>N-10</v>
      </c>
      <c r="AJ37" s="6"/>
      <c r="AK37" s="6" t="str">
        <f t="shared" si="21"/>
        <v/>
      </c>
      <c r="AL37" s="6"/>
      <c r="AM37" s="6"/>
      <c r="AN37" s="6"/>
      <c r="AO37" s="6"/>
      <c r="AP37" s="6"/>
      <c r="AQ37" s="7"/>
      <c r="AR37" s="69"/>
      <c r="AS37" s="69"/>
      <c r="AT37" s="39">
        <v>21.0</v>
      </c>
      <c r="AU37" s="69" t="str">
        <f t="array" ref="AU37">IFERROR(INDEX('DB(読み込みシート※編集厳禁)'!$A$3:$AH$501,MATCH($C37,'DB(読み込みシート※編集厳禁)'!$B$3:$B$501,0),MATCH(AU$16,'DB(読み込みシート※編集厳禁)'!$A$2:$AH$2,0)),"")</f>
        <v>はい</v>
      </c>
      <c r="AV37" s="69" t="str">
        <f t="array" ref="AV37">IFERROR(INDEX('DB(読み込みシート※編集厳禁)'!$A$3:$AH$501,MATCH($C37,'DB(読み込みシート※編集厳禁)'!$B$3:$B$501,0),MATCH(AV$16,'DB(読み込みシート※編集厳禁)'!$A$2:$AH$2,0)),"")</f>
        <v>いいえ</v>
      </c>
      <c r="AW37" s="69" t="str">
        <f t="shared" si="22"/>
        <v>2:40:692</v>
      </c>
      <c r="AX37" s="69" t="str">
        <f t="shared" si="23"/>
        <v>2:40:692</v>
      </c>
      <c r="AY37" s="69" t="str">
        <f t="shared" si="24"/>
        <v>-</v>
      </c>
      <c r="AZ37" s="69" t="str">
        <f t="shared" si="25"/>
        <v>2:30:194</v>
      </c>
      <c r="BA37" s="69" t="str">
        <f t="shared" si="26"/>
        <v>2:30:194</v>
      </c>
      <c r="BB37" s="69" t="str">
        <f t="shared" si="27"/>
        <v>-</v>
      </c>
      <c r="BC37" s="69" t="str">
        <f t="shared" si="28"/>
        <v>2:30:194</v>
      </c>
      <c r="BD37" s="70">
        <f t="shared" si="29"/>
        <v>1.538778354</v>
      </c>
      <c r="BE37" s="70">
        <f t="shared" si="30"/>
        <v>1.538778354</v>
      </c>
      <c r="BF37" s="147">
        <f t="shared" si="31"/>
        <v>160692</v>
      </c>
      <c r="BG37" s="147">
        <f t="shared" si="32"/>
        <v>150194</v>
      </c>
      <c r="BH37" s="1">
        <f t="shared" si="33"/>
        <v>150194</v>
      </c>
      <c r="BI37" s="1">
        <f t="shared" si="34"/>
        <v>15019421</v>
      </c>
      <c r="BJ37" s="1">
        <f t="shared" si="35"/>
        <v>700015019421</v>
      </c>
      <c r="BK37" s="1">
        <f t="shared" si="36"/>
        <v>150194</v>
      </c>
      <c r="BL37" s="1">
        <f t="shared" si="37"/>
        <v>49</v>
      </c>
      <c r="BM37" s="1" t="str">
        <f t="shared" si="38"/>
        <v>総合53</v>
      </c>
      <c r="BN37" s="1">
        <f t="shared" si="39"/>
        <v>10</v>
      </c>
      <c r="BO37" s="1" t="str">
        <f t="shared" si="40"/>
        <v>N10</v>
      </c>
      <c r="BP37" s="1">
        <f t="shared" si="41"/>
        <v>5</v>
      </c>
      <c r="BQ37" s="1" t="str">
        <f t="shared" si="42"/>
        <v>セパハン5</v>
      </c>
      <c r="BR37" s="1" t="str">
        <f t="shared" si="43"/>
        <v>-</v>
      </c>
      <c r="BS37" s="1" t="str">
        <f t="shared" si="44"/>
        <v>ミニ-</v>
      </c>
      <c r="BT37" s="1"/>
      <c r="BU37" s="1"/>
      <c r="BV37" s="1"/>
      <c r="BW37" s="1"/>
      <c r="BX37" s="1"/>
    </row>
    <row r="38">
      <c r="A38" s="1"/>
      <c r="B38" s="148" t="str">
        <f t="array" ref="B38">IFERROR(INDEX('DB(読み込みシート※編集厳禁)'!$A$3:$AH$501,MATCH($C38,'DB(読み込みシート※編集厳禁)'!$B$3:$B$501,0),MATCH(B$14,'DB(読み込みシート※編集厳禁)'!$A$2:$AH$2,0)),"")</f>
        <v>N</v>
      </c>
      <c r="C38" s="149">
        <v>22.0</v>
      </c>
      <c r="D38" s="163" t="str">
        <f t="array" ref="D38">IFERROR(INDEX('DB(読み込みシート※編集厳禁)'!$A$3:$AH$501,MATCH($C38,'DB(読み込みシート※編集厳禁)'!$B$3:$B$501,0),MATCH(D$14,'DB(読み込みシート※編集厳禁)'!$A$2:$AH$2,0)),"")</f>
        <v>まる</v>
      </c>
      <c r="E38" s="164" t="str">
        <f t="array" ref="E38">IFERROR(INDEX('DB(読み込みシート※編集厳禁)'!$A$3:$AH$501,MATCH($C38,'DB(読み込みシート※編集厳禁)'!$B$3:$B$501,0),MATCH(E$14,'DB(読み込みシート※編集厳禁)'!$A$2:$AH$2,0)),"")</f>
        <v>MT-09</v>
      </c>
      <c r="F38" s="165" t="str">
        <f t="array" ref="F38">IFERROR(INDEX('DB(読み込みシート※編集厳禁)'!$A$3:$AH$501,MATCH($C38,'DB(読み込みシート※編集厳禁)'!$B$3:$B$501,0),MATCH(F$14,'DB(読み込みシート※編集厳禁)'!$A$2:$AH$2,0)),"")</f>
        <v>シルバー</v>
      </c>
      <c r="G38" s="133" t="str">
        <f t="shared" si="8"/>
        <v>2:03:425</v>
      </c>
      <c r="H38" s="152" t="str">
        <f t="shared" si="9"/>
        <v>2:03:425</v>
      </c>
      <c r="I38" s="135">
        <v>203425.0</v>
      </c>
      <c r="J38" s="166"/>
      <c r="K38" s="137" t="s">
        <v>15</v>
      </c>
      <c r="L38" s="138" t="str">
        <f t="shared" si="10"/>
        <v>2</v>
      </c>
      <c r="M38" s="139" t="str">
        <f t="shared" si="11"/>
        <v>03</v>
      </c>
      <c r="N38" s="140" t="str">
        <f t="shared" si="12"/>
        <v>425</v>
      </c>
      <c r="O38" s="141" t="str">
        <f t="shared" si="13"/>
        <v>2:00:176</v>
      </c>
      <c r="P38" s="162" t="str">
        <f t="shared" si="14"/>
        <v>2:00:176</v>
      </c>
      <c r="Q38" s="148" t="str">
        <f t="array" ref="Q38">IFERROR(INDEX('DB(読み込みシート※編集厳禁)'!$A$3:$AH$501,MATCH($C38,'DB(読み込みシート※編集厳禁)'!$B$3:$B$501,0),MATCH(Q$14,'DB(読み込みシート※編集厳禁)'!$A$2:$AH$2,0)),"")</f>
        <v>N</v>
      </c>
      <c r="R38" s="149">
        <v>22.0</v>
      </c>
      <c r="S38" s="163" t="str">
        <f t="array" ref="S38">IFERROR(INDEX('DB(読み込みシート※編集厳禁)'!$A$3:$AH$501,MATCH($C38,'DB(読み込みシート※編集厳禁)'!$B$3:$B$501,0),MATCH(S$14,'DB(読み込みシート※編集厳禁)'!$A$2:$AH$2,0)),"")</f>
        <v>まる</v>
      </c>
      <c r="T38" s="164" t="str">
        <f t="array" ref="T38">IFERROR(INDEX('DB(読み込みシート※編集厳禁)'!$A$3:$AH$501,MATCH($C38,'DB(読み込みシート※編集厳禁)'!$B$3:$B$501,0),MATCH(T$14,'DB(読み込みシート※編集厳禁)'!$A$2:$AH$2,0)),"")</f>
        <v>MT-09</v>
      </c>
      <c r="U38" s="135">
        <v>200176.0</v>
      </c>
      <c r="V38" s="166"/>
      <c r="W38" s="137" t="s">
        <v>15</v>
      </c>
      <c r="X38" s="138" t="str">
        <f t="shared" si="15"/>
        <v>2</v>
      </c>
      <c r="Y38" s="139" t="str">
        <f t="shared" si="16"/>
        <v>00</v>
      </c>
      <c r="Z38" s="144" t="str">
        <f t="shared" si="17"/>
        <v>176</v>
      </c>
      <c r="AA38" s="1"/>
      <c r="AB38" s="6"/>
      <c r="AC38" s="6"/>
      <c r="AD38" s="6"/>
      <c r="AE38" s="6"/>
      <c r="AF38" s="6"/>
      <c r="AG38" s="6">
        <f t="shared" si="18"/>
        <v>110000</v>
      </c>
      <c r="AH38" s="6">
        <f t="shared" si="19"/>
        <v>112022</v>
      </c>
      <c r="AI38" s="6" t="str">
        <f t="shared" si="20"/>
        <v>N-4</v>
      </c>
      <c r="AJ38" s="6"/>
      <c r="AK38" s="6" t="str">
        <f t="shared" si="21"/>
        <v/>
      </c>
      <c r="AL38" s="6"/>
      <c r="AM38" s="6"/>
      <c r="AN38" s="6"/>
      <c r="AO38" s="6"/>
      <c r="AP38" s="6"/>
      <c r="AQ38" s="7"/>
      <c r="AR38" s="69"/>
      <c r="AS38" s="69"/>
      <c r="AT38" s="39">
        <v>22.0</v>
      </c>
      <c r="AU38" s="69" t="str">
        <f t="array" ref="AU38">IFERROR(INDEX('DB(読み込みシート※編集厳禁)'!$A$3:$AH$501,MATCH($C38,'DB(読み込みシート※編集厳禁)'!$B$3:$B$501,0),MATCH(AU$16,'DB(読み込みシート※編集厳禁)'!$A$2:$AH$2,0)),"")</f>
        <v>いいえ</v>
      </c>
      <c r="AV38" s="69" t="str">
        <f t="array" ref="AV38">IFERROR(INDEX('DB(読み込みシート※編集厳禁)'!$A$3:$AH$501,MATCH($C38,'DB(読み込みシート※編集厳禁)'!$B$3:$B$501,0),MATCH(AV$16,'DB(読み込みシート※編集厳禁)'!$A$2:$AH$2,0)),"")</f>
        <v>いいえ</v>
      </c>
      <c r="AW38" s="69" t="str">
        <f t="shared" si="22"/>
        <v>2:03:425</v>
      </c>
      <c r="AX38" s="69" t="str">
        <f t="shared" si="23"/>
        <v>2:03:425</v>
      </c>
      <c r="AY38" s="69" t="str">
        <f t="shared" si="24"/>
        <v>-</v>
      </c>
      <c r="AZ38" s="69" t="str">
        <f t="shared" si="25"/>
        <v>2:00:176</v>
      </c>
      <c r="BA38" s="69" t="str">
        <f t="shared" si="26"/>
        <v>2:00:176</v>
      </c>
      <c r="BB38" s="69" t="str">
        <f t="shared" si="27"/>
        <v>-</v>
      </c>
      <c r="BC38" s="69" t="str">
        <f t="shared" si="28"/>
        <v>2:00:176</v>
      </c>
      <c r="BD38" s="70">
        <f t="shared" si="29"/>
        <v>1.231235785</v>
      </c>
      <c r="BE38" s="70">
        <f t="shared" si="30"/>
        <v>1.231235785</v>
      </c>
      <c r="BF38" s="147">
        <f t="shared" si="31"/>
        <v>123425</v>
      </c>
      <c r="BG38" s="147">
        <f t="shared" si="32"/>
        <v>120176</v>
      </c>
      <c r="BH38" s="1">
        <f t="shared" si="33"/>
        <v>120176</v>
      </c>
      <c r="BI38" s="1">
        <f t="shared" si="34"/>
        <v>12017622</v>
      </c>
      <c r="BJ38" s="1">
        <f t="shared" si="35"/>
        <v>700012017622</v>
      </c>
      <c r="BK38" s="1">
        <f t="shared" si="36"/>
        <v>120176</v>
      </c>
      <c r="BL38" s="1">
        <f t="shared" si="37"/>
        <v>39</v>
      </c>
      <c r="BM38" s="1" t="str">
        <f t="shared" si="38"/>
        <v>総合47</v>
      </c>
      <c r="BN38" s="1">
        <f t="shared" si="39"/>
        <v>4</v>
      </c>
      <c r="BO38" s="1" t="str">
        <f t="shared" si="40"/>
        <v>N4</v>
      </c>
      <c r="BP38" s="1" t="str">
        <f t="shared" si="41"/>
        <v>-</v>
      </c>
      <c r="BQ38" s="1" t="str">
        <f t="shared" si="42"/>
        <v>セパハン-</v>
      </c>
      <c r="BR38" s="1" t="str">
        <f t="shared" si="43"/>
        <v>-</v>
      </c>
      <c r="BS38" s="1" t="str">
        <f t="shared" si="44"/>
        <v>ミニ-</v>
      </c>
      <c r="BT38" s="1"/>
      <c r="BU38" s="1"/>
      <c r="BV38" s="1"/>
      <c r="BW38" s="1"/>
      <c r="BX38" s="1"/>
    </row>
    <row r="39">
      <c r="A39" s="1"/>
      <c r="B39" s="148" t="str">
        <f t="array" ref="B39">IFERROR(INDEX('DB(読み込みシート※編集厳禁)'!$A$3:$AH$501,MATCH($C39,'DB(読み込みシート※編集厳禁)'!$B$3:$B$501,0),MATCH(B$14,'DB(読み込みシート※編集厳禁)'!$A$2:$AH$2,0)),"")</f>
        <v>N</v>
      </c>
      <c r="C39" s="149">
        <v>23.0</v>
      </c>
      <c r="D39" s="167" t="str">
        <f t="array" ref="D39">IFERROR(INDEX('DB(読み込みシート※編集厳禁)'!$A$3:$AH$501,MATCH($C39,'DB(読み込みシート※編集厳禁)'!$B$3:$B$501,0),MATCH(D$14,'DB(読み込みシート※編集厳禁)'!$A$2:$AH$2,0)),"")</f>
        <v>むねー</v>
      </c>
      <c r="E39" s="168" t="str">
        <f t="array" ref="E39">IFERROR(INDEX('DB(読み込みシート※編集厳禁)'!$A$3:$AH$501,MATCH($C39,'DB(読み込みシート※編集厳禁)'!$B$3:$B$501,0),MATCH(E$14,'DB(読み込みシート※編集厳禁)'!$A$2:$AH$2,0)),"")</f>
        <v>GROM</v>
      </c>
      <c r="F39" s="165" t="str">
        <f t="array" ref="F39">IFERROR(INDEX('DB(読み込みシート※編集厳禁)'!$A$3:$AH$501,MATCH($C39,'DB(読み込みシート※編集厳禁)'!$B$3:$B$501,0),MATCH(F$14,'DB(読み込みシート※編集厳禁)'!$A$2:$AH$2,0)),"")</f>
        <v>白</v>
      </c>
      <c r="G39" s="133" t="str">
        <f t="shared" si="8"/>
        <v>9:99:999</v>
      </c>
      <c r="H39" s="152" t="str">
        <f t="shared" si="9"/>
        <v>9:99:999</v>
      </c>
      <c r="I39" s="135">
        <v>229487.0</v>
      </c>
      <c r="J39" s="166"/>
      <c r="K39" s="137" t="s">
        <v>9</v>
      </c>
      <c r="L39" s="138" t="str">
        <f t="shared" si="10"/>
        <v>2</v>
      </c>
      <c r="M39" s="139" t="str">
        <f t="shared" si="11"/>
        <v>29</v>
      </c>
      <c r="N39" s="140" t="str">
        <f t="shared" si="12"/>
        <v>487</v>
      </c>
      <c r="O39" s="141" t="str">
        <f t="shared" si="13"/>
        <v>2:19:060</v>
      </c>
      <c r="P39" s="162" t="str">
        <f t="shared" si="14"/>
        <v>2:19:060</v>
      </c>
      <c r="Q39" s="148" t="str">
        <f t="array" ref="Q39">IFERROR(INDEX('DB(読み込みシート※編集厳禁)'!$A$3:$AH$501,MATCH($C39,'DB(読み込みシート※編集厳禁)'!$B$3:$B$501,0),MATCH(Q$14,'DB(読み込みシート※編集厳禁)'!$A$2:$AH$2,0)),"")</f>
        <v>N</v>
      </c>
      <c r="R39" s="149">
        <v>23.0</v>
      </c>
      <c r="S39" s="167" t="str">
        <f t="array" ref="S39">IFERROR(INDEX('DB(読み込みシート※編集厳禁)'!$A$3:$AH$501,MATCH($C39,'DB(読み込みシート※編集厳禁)'!$B$3:$B$501,0),MATCH(S$14,'DB(読み込みシート※編集厳禁)'!$A$2:$AH$2,0)),"")</f>
        <v>むねー</v>
      </c>
      <c r="T39" s="168" t="str">
        <f t="array" ref="T39">IFERROR(INDEX('DB(読み込みシート※編集厳禁)'!$A$3:$AH$501,MATCH($C39,'DB(読み込みシート※編集厳禁)'!$B$3:$B$501,0),MATCH(T$14,'DB(読み込みシート※編集厳禁)'!$A$2:$AH$2,0)),"")</f>
        <v>GROM</v>
      </c>
      <c r="U39" s="135">
        <v>219060.0</v>
      </c>
      <c r="V39" s="166"/>
      <c r="W39" s="137" t="s">
        <v>15</v>
      </c>
      <c r="X39" s="138" t="str">
        <f t="shared" si="15"/>
        <v>2</v>
      </c>
      <c r="Y39" s="139" t="str">
        <f t="shared" si="16"/>
        <v>19</v>
      </c>
      <c r="Z39" s="144" t="str">
        <f t="shared" si="17"/>
        <v>060</v>
      </c>
      <c r="AA39" s="1"/>
      <c r="AB39" s="6"/>
      <c r="AC39" s="6"/>
      <c r="AD39" s="6"/>
      <c r="AE39" s="6"/>
      <c r="AF39" s="6"/>
      <c r="AG39" s="6">
        <f t="shared" si="18"/>
        <v>110000</v>
      </c>
      <c r="AH39" s="6">
        <f t="shared" si="19"/>
        <v>112023</v>
      </c>
      <c r="AI39" s="6" t="str">
        <f t="shared" si="20"/>
        <v>N-8</v>
      </c>
      <c r="AJ39" s="6"/>
      <c r="AK39" s="6" t="str">
        <f t="shared" si="21"/>
        <v/>
      </c>
      <c r="AL39" s="6"/>
      <c r="AM39" s="6"/>
      <c r="AN39" s="6"/>
      <c r="AO39" s="6"/>
      <c r="AP39" s="6"/>
      <c r="AQ39" s="7"/>
      <c r="AR39" s="69"/>
      <c r="AS39" s="69"/>
      <c r="AT39" s="39">
        <v>23.0</v>
      </c>
      <c r="AU39" s="69" t="str">
        <f t="array" ref="AU39">IFERROR(INDEX('DB(読み込みシート※編集厳禁)'!$A$3:$AH$501,MATCH($C39,'DB(読み込みシート※編集厳禁)'!$B$3:$B$501,0),MATCH(AU$16,'DB(読み込みシート※編集厳禁)'!$A$2:$AH$2,0)),"")</f>
        <v>いいえ</v>
      </c>
      <c r="AV39" s="69" t="str">
        <f t="array" ref="AV39">IFERROR(INDEX('DB(読み込みシート※編集厳禁)'!$A$3:$AH$501,MATCH($C39,'DB(読み込みシート※編集厳禁)'!$B$3:$B$501,0),MATCH(AV$16,'DB(読み込みシート※編集厳禁)'!$A$2:$AH$2,0)),"")</f>
        <v>はい</v>
      </c>
      <c r="AW39" s="69" t="str">
        <f t="shared" si="22"/>
        <v>9:99:999</v>
      </c>
      <c r="AX39" s="69" t="str">
        <f t="shared" si="23"/>
        <v>9:99:999</v>
      </c>
      <c r="AY39" s="69" t="str">
        <f t="shared" si="24"/>
        <v>MC</v>
      </c>
      <c r="AZ39" s="69" t="str">
        <f t="shared" si="25"/>
        <v>2:19:060</v>
      </c>
      <c r="BA39" s="69" t="str">
        <f t="shared" si="26"/>
        <v>2:19:060</v>
      </c>
      <c r="BB39" s="69" t="str">
        <f t="shared" si="27"/>
        <v>-</v>
      </c>
      <c r="BC39" s="69" t="str">
        <f t="shared" si="28"/>
        <v>2:19:060</v>
      </c>
      <c r="BD39" s="70">
        <f t="shared" si="29"/>
        <v>1.424707497</v>
      </c>
      <c r="BE39" s="70">
        <f t="shared" si="30"/>
        <v>1.424707497</v>
      </c>
      <c r="BF39" s="1">
        <f t="shared" si="31"/>
        <v>999999</v>
      </c>
      <c r="BG39" s="147">
        <f t="shared" si="32"/>
        <v>139060</v>
      </c>
      <c r="BH39" s="1">
        <f t="shared" si="33"/>
        <v>139060</v>
      </c>
      <c r="BI39" s="1">
        <f t="shared" si="34"/>
        <v>13906023</v>
      </c>
      <c r="BJ39" s="1">
        <f t="shared" si="35"/>
        <v>700013906023</v>
      </c>
      <c r="BK39" s="1">
        <f t="shared" si="36"/>
        <v>139060</v>
      </c>
      <c r="BL39" s="1">
        <f t="shared" si="37"/>
        <v>47</v>
      </c>
      <c r="BM39" s="1" t="str">
        <f t="shared" si="38"/>
        <v>総合51</v>
      </c>
      <c r="BN39" s="1">
        <f t="shared" si="39"/>
        <v>8</v>
      </c>
      <c r="BO39" s="1" t="str">
        <f t="shared" si="40"/>
        <v>N8</v>
      </c>
      <c r="BP39" s="1" t="str">
        <f t="shared" si="41"/>
        <v>-</v>
      </c>
      <c r="BQ39" s="1" t="str">
        <f t="shared" si="42"/>
        <v>セパハン-</v>
      </c>
      <c r="BR39" s="1">
        <f t="shared" si="43"/>
        <v>4</v>
      </c>
      <c r="BS39" s="1" t="str">
        <f t="shared" si="44"/>
        <v>ミニ4</v>
      </c>
      <c r="BT39" s="1"/>
      <c r="BU39" s="1"/>
      <c r="BV39" s="1"/>
      <c r="BW39" s="1"/>
      <c r="BX39" s="1"/>
    </row>
    <row r="40">
      <c r="A40" s="1"/>
      <c r="B40" s="148" t="str">
        <f t="array" ref="B40">IFERROR(INDEX('DB(読み込みシート※編集厳禁)'!$A$3:$AH$501,MATCH($C40,'DB(読み込みシート※編集厳禁)'!$B$3:$B$501,0),MATCH(B$14,'DB(読み込みシート※編集厳禁)'!$A$2:$AH$2,0)),"")</f>
        <v>N</v>
      </c>
      <c r="C40" s="149">
        <v>24.0</v>
      </c>
      <c r="D40" s="167" t="str">
        <f t="array" ref="D40">IFERROR(INDEX('DB(読み込みシート※編集厳禁)'!$A$3:$AH$501,MATCH($C40,'DB(読み込みシート※編集厳禁)'!$B$3:$B$501,0),MATCH(D$14,'DB(読み込みシート※編集厳禁)'!$A$2:$AH$2,0)),"")</f>
        <v>こぱー</v>
      </c>
      <c r="E40" s="168" t="str">
        <f t="array" ref="E40">IFERROR(INDEX('DB(読み込みシート※編集厳禁)'!$A$3:$AH$501,MATCH($C40,'DB(読み込みシート※編集厳禁)'!$B$3:$B$501,0),MATCH(E$14,'DB(読み込みシート※編集厳禁)'!$A$2:$AH$2,0)),"")</f>
        <v>CB250R </v>
      </c>
      <c r="F40" s="165" t="str">
        <f t="array" ref="F40">IFERROR(INDEX('DB(読み込みシート※編集厳禁)'!$A$3:$AH$501,MATCH($C40,'DB(読み込みシート※編集厳禁)'!$B$3:$B$501,0),MATCH(F$14,'DB(読み込みシート※編集厳禁)'!$A$2:$AH$2,0)),"")</f>
        <v>赤</v>
      </c>
      <c r="G40" s="133" t="str">
        <f t="shared" si="8"/>
        <v>9:99:999</v>
      </c>
      <c r="H40" s="152" t="str">
        <f t="shared" si="9"/>
        <v>9:99:999</v>
      </c>
      <c r="I40" s="135">
        <v>221937.0</v>
      </c>
      <c r="J40" s="166"/>
      <c r="K40" s="137" t="s">
        <v>9</v>
      </c>
      <c r="L40" s="138" t="str">
        <f t="shared" si="10"/>
        <v>2</v>
      </c>
      <c r="M40" s="139" t="str">
        <f t="shared" si="11"/>
        <v>21</v>
      </c>
      <c r="N40" s="140" t="str">
        <f t="shared" si="12"/>
        <v>937</v>
      </c>
      <c r="O40" s="141" t="str">
        <f t="shared" si="13"/>
        <v>2:09:893</v>
      </c>
      <c r="P40" s="162" t="str">
        <f t="shared" si="14"/>
        <v>2:09:893</v>
      </c>
      <c r="Q40" s="148" t="str">
        <f t="array" ref="Q40">IFERROR(INDEX('DB(読み込みシート※編集厳禁)'!$A$3:$AH$501,MATCH($C40,'DB(読み込みシート※編集厳禁)'!$B$3:$B$501,0),MATCH(Q$14,'DB(読み込みシート※編集厳禁)'!$A$2:$AH$2,0)),"")</f>
        <v>N</v>
      </c>
      <c r="R40" s="149">
        <v>24.0</v>
      </c>
      <c r="S40" s="167" t="str">
        <f t="array" ref="S40">IFERROR(INDEX('DB(読み込みシート※編集厳禁)'!$A$3:$AH$501,MATCH($C40,'DB(読み込みシート※編集厳禁)'!$B$3:$B$501,0),MATCH(S$14,'DB(読み込みシート※編集厳禁)'!$A$2:$AH$2,0)),"")</f>
        <v>こぱー</v>
      </c>
      <c r="T40" s="168" t="str">
        <f t="array" ref="T40">IFERROR(INDEX('DB(読み込みシート※編集厳禁)'!$A$3:$AH$501,MATCH($C40,'DB(読み込みシート※編集厳禁)'!$B$3:$B$501,0),MATCH(T$14,'DB(読み込みシート※編集厳禁)'!$A$2:$AH$2,0)),"")</f>
        <v>CB250R </v>
      </c>
      <c r="U40" s="135">
        <v>209893.0</v>
      </c>
      <c r="V40" s="166"/>
      <c r="W40" s="137" t="s">
        <v>15</v>
      </c>
      <c r="X40" s="138" t="str">
        <f t="shared" si="15"/>
        <v>2</v>
      </c>
      <c r="Y40" s="139" t="str">
        <f t="shared" si="16"/>
        <v>09</v>
      </c>
      <c r="Z40" s="144" t="str">
        <f t="shared" si="17"/>
        <v>893</v>
      </c>
      <c r="AA40" s="1"/>
      <c r="AB40" s="6"/>
      <c r="AC40" s="6"/>
      <c r="AD40" s="6"/>
      <c r="AE40" s="6"/>
      <c r="AF40" s="6"/>
      <c r="AG40" s="6">
        <f t="shared" si="18"/>
        <v>110000</v>
      </c>
      <c r="AH40" s="6">
        <f t="shared" si="19"/>
        <v>112024</v>
      </c>
      <c r="AI40" s="6" t="str">
        <f t="shared" si="20"/>
        <v>N-6</v>
      </c>
      <c r="AJ40" s="6"/>
      <c r="AK40" s="6" t="str">
        <f t="shared" si="21"/>
        <v/>
      </c>
      <c r="AL40" s="6"/>
      <c r="AM40" s="6"/>
      <c r="AN40" s="6"/>
      <c r="AO40" s="6"/>
      <c r="AP40" s="6"/>
      <c r="AQ40" s="7"/>
      <c r="AR40" s="69"/>
      <c r="AS40" s="69"/>
      <c r="AT40" s="39">
        <v>24.0</v>
      </c>
      <c r="AU40" s="69" t="str">
        <f t="array" ref="AU40">IFERROR(INDEX('DB(読み込みシート※編集厳禁)'!$A$3:$AH$501,MATCH($C40,'DB(読み込みシート※編集厳禁)'!$B$3:$B$501,0),MATCH(AU$16,'DB(読み込みシート※編集厳禁)'!$A$2:$AH$2,0)),"")</f>
        <v>いいえ</v>
      </c>
      <c r="AV40" s="69" t="str">
        <f t="array" ref="AV40">IFERROR(INDEX('DB(読み込みシート※編集厳禁)'!$A$3:$AH$501,MATCH($C40,'DB(読み込みシート※編集厳禁)'!$B$3:$B$501,0),MATCH(AV$16,'DB(読み込みシート※編集厳禁)'!$A$2:$AH$2,0)),"")</f>
        <v>いいえ</v>
      </c>
      <c r="AW40" s="69" t="str">
        <f t="shared" si="22"/>
        <v>9:99:999</v>
      </c>
      <c r="AX40" s="69" t="str">
        <f t="shared" si="23"/>
        <v>9:99:999</v>
      </c>
      <c r="AY40" s="69" t="str">
        <f t="shared" si="24"/>
        <v>MC</v>
      </c>
      <c r="AZ40" s="69" t="str">
        <f t="shared" si="25"/>
        <v>2:09:893</v>
      </c>
      <c r="BA40" s="69" t="str">
        <f t="shared" si="26"/>
        <v>2:09:893</v>
      </c>
      <c r="BB40" s="69" t="str">
        <f t="shared" si="27"/>
        <v>-</v>
      </c>
      <c r="BC40" s="69" t="str">
        <f t="shared" si="28"/>
        <v>2:09:893</v>
      </c>
      <c r="BD40" s="70">
        <f t="shared" si="29"/>
        <v>1.330789091</v>
      </c>
      <c r="BE40" s="70">
        <f t="shared" si="30"/>
        <v>1.330789091</v>
      </c>
      <c r="BF40" s="1">
        <f t="shared" si="31"/>
        <v>999999</v>
      </c>
      <c r="BG40" s="147">
        <f t="shared" si="32"/>
        <v>129893</v>
      </c>
      <c r="BH40" s="1">
        <f t="shared" si="33"/>
        <v>129893</v>
      </c>
      <c r="BI40" s="1">
        <f t="shared" si="34"/>
        <v>12989324</v>
      </c>
      <c r="BJ40" s="1">
        <f t="shared" si="35"/>
        <v>700012989324</v>
      </c>
      <c r="BK40" s="1">
        <f t="shared" si="36"/>
        <v>129893</v>
      </c>
      <c r="BL40" s="1">
        <f t="shared" si="37"/>
        <v>45</v>
      </c>
      <c r="BM40" s="1" t="str">
        <f t="shared" si="38"/>
        <v>総合49</v>
      </c>
      <c r="BN40" s="1">
        <f t="shared" si="39"/>
        <v>6</v>
      </c>
      <c r="BO40" s="1" t="str">
        <f t="shared" si="40"/>
        <v>N6</v>
      </c>
      <c r="BP40" s="1" t="str">
        <f t="shared" si="41"/>
        <v>-</v>
      </c>
      <c r="BQ40" s="1" t="str">
        <f t="shared" si="42"/>
        <v>セパハン-</v>
      </c>
      <c r="BR40" s="1" t="str">
        <f t="shared" si="43"/>
        <v>-</v>
      </c>
      <c r="BS40" s="1" t="str">
        <f t="shared" si="44"/>
        <v>ミニ-</v>
      </c>
      <c r="BT40" s="1"/>
      <c r="BU40" s="1"/>
      <c r="BV40" s="1"/>
      <c r="BW40" s="1"/>
      <c r="BX40" s="1"/>
    </row>
    <row r="41">
      <c r="A41" s="1"/>
      <c r="B41" s="148" t="str">
        <f t="array" ref="B41">IFERROR(INDEX('DB(読み込みシート※編集厳禁)'!$A$3:$AH$501,MATCH($C41,'DB(読み込みシート※編集厳禁)'!$B$3:$B$501,0),MATCH(B$14,'DB(読み込みシート※編集厳禁)'!$A$2:$AH$2,0)),"")</f>
        <v>N</v>
      </c>
      <c r="C41" s="149">
        <v>25.0</v>
      </c>
      <c r="D41" s="169" t="str">
        <f t="array" ref="D41">IFERROR(INDEX('DB(読み込みシート※編集厳禁)'!$A$3:$AH$501,MATCH($C41,'DB(読み込みシート※編集厳禁)'!$B$3:$B$501,0),MATCH(D$14,'DB(読み込みシート※編集厳禁)'!$A$2:$AH$2,0)),"")</f>
        <v>さかもっちゃん</v>
      </c>
      <c r="E41" s="170" t="str">
        <f t="array" ref="E41">IFERROR(INDEX('DB(読み込みシート※編集厳禁)'!$A$3:$AH$501,MATCH($C41,'DB(読み込みシート※編集厳禁)'!$B$3:$B$501,0),MATCH(E$14,'DB(読み込みシート※編集厳禁)'!$A$2:$AH$2,0)),"")</f>
        <v>690 DUKE</v>
      </c>
      <c r="F41" s="171" t="str">
        <f t="array" ref="F41">IFERROR(INDEX('DB(読み込みシート※編集厳禁)'!$A$3:$AH$501,MATCH($C41,'DB(読み込みシート※編集厳禁)'!$B$3:$B$501,0),MATCH(F$14,'DB(読み込みシート※編集厳禁)'!$A$2:$AH$2,0)),"")</f>
        <v>白/オレンジ</v>
      </c>
      <c r="G41" s="133" t="str">
        <f t="shared" si="8"/>
        <v>2:48:703</v>
      </c>
      <c r="H41" s="152" t="str">
        <f t="shared" si="9"/>
        <v>2:48:703</v>
      </c>
      <c r="I41" s="135">
        <v>248703.0</v>
      </c>
      <c r="J41" s="166"/>
      <c r="K41" s="137" t="s">
        <v>15</v>
      </c>
      <c r="L41" s="138" t="str">
        <f t="shared" si="10"/>
        <v>2</v>
      </c>
      <c r="M41" s="139" t="str">
        <f t="shared" si="11"/>
        <v>48</v>
      </c>
      <c r="N41" s="140" t="str">
        <f t="shared" si="12"/>
        <v>703</v>
      </c>
      <c r="O41" s="141" t="str">
        <f t="shared" si="13"/>
        <v>2:41:056</v>
      </c>
      <c r="P41" s="162" t="str">
        <f t="shared" si="14"/>
        <v>2:41:056</v>
      </c>
      <c r="Q41" s="148" t="str">
        <f t="array" ref="Q41">IFERROR(INDEX('DB(読み込みシート※編集厳禁)'!$A$3:$AH$501,MATCH($C41,'DB(読み込みシート※編集厳禁)'!$B$3:$B$501,0),MATCH(Q$14,'DB(読み込みシート※編集厳禁)'!$A$2:$AH$2,0)),"")</f>
        <v>N</v>
      </c>
      <c r="R41" s="149">
        <v>25.0</v>
      </c>
      <c r="S41" s="169" t="str">
        <f t="array" ref="S41">IFERROR(INDEX('DB(読み込みシート※編集厳禁)'!$A$3:$AH$501,MATCH($C41,'DB(読み込みシート※編集厳禁)'!$B$3:$B$501,0),MATCH(S$14,'DB(読み込みシート※編集厳禁)'!$A$2:$AH$2,0)),"")</f>
        <v>さかもっちゃん</v>
      </c>
      <c r="T41" s="170" t="str">
        <f t="array" ref="T41">IFERROR(INDEX('DB(読み込みシート※編集厳禁)'!$A$3:$AH$501,MATCH($C41,'DB(読み込みシート※編集厳禁)'!$B$3:$B$501,0),MATCH(T$14,'DB(読み込みシート※編集厳禁)'!$A$2:$AH$2,0)),"")</f>
        <v>690 DUKE</v>
      </c>
      <c r="U41" s="135">
        <v>241056.0</v>
      </c>
      <c r="V41" s="166"/>
      <c r="W41" s="137" t="s">
        <v>15</v>
      </c>
      <c r="X41" s="138" t="str">
        <f t="shared" si="15"/>
        <v>2</v>
      </c>
      <c r="Y41" s="139" t="str">
        <f t="shared" si="16"/>
        <v>41</v>
      </c>
      <c r="Z41" s="144" t="str">
        <f t="shared" si="17"/>
        <v>056</v>
      </c>
      <c r="AA41" s="1"/>
      <c r="AB41" s="6"/>
      <c r="AC41" s="6"/>
      <c r="AD41" s="6"/>
      <c r="AE41" s="6"/>
      <c r="AF41" s="6"/>
      <c r="AG41" s="6">
        <f t="shared" si="18"/>
        <v>110000</v>
      </c>
      <c r="AH41" s="6">
        <f t="shared" si="19"/>
        <v>112025</v>
      </c>
      <c r="AI41" s="6" t="str">
        <f t="shared" si="20"/>
        <v>N-11</v>
      </c>
      <c r="AJ41" s="6"/>
      <c r="AK41" s="6" t="str">
        <f t="shared" si="21"/>
        <v/>
      </c>
      <c r="AL41" s="6"/>
      <c r="AM41" s="6"/>
      <c r="AN41" s="6"/>
      <c r="AO41" s="6"/>
      <c r="AP41" s="6"/>
      <c r="AQ41" s="7"/>
      <c r="AR41" s="69"/>
      <c r="AS41" s="69"/>
      <c r="AT41" s="39">
        <v>25.0</v>
      </c>
      <c r="AU41" s="69" t="str">
        <f t="array" ref="AU41">IFERROR(INDEX('DB(読み込みシート※編集厳禁)'!$A$3:$AH$501,MATCH($C41,'DB(読み込みシート※編集厳禁)'!$B$3:$B$501,0),MATCH(AU$16,'DB(読み込みシート※編集厳禁)'!$A$2:$AH$2,0)),"")</f>
        <v>いいえ</v>
      </c>
      <c r="AV41" s="69" t="str">
        <f t="array" ref="AV41">IFERROR(INDEX('DB(読み込みシート※編集厳禁)'!$A$3:$AH$501,MATCH($C41,'DB(読み込みシート※編集厳禁)'!$B$3:$B$501,0),MATCH(AV$16,'DB(読み込みシート※編集厳禁)'!$A$2:$AH$2,0)),"")</f>
        <v>いいえ</v>
      </c>
      <c r="AW41" s="69" t="str">
        <f t="shared" si="22"/>
        <v>2:48:703</v>
      </c>
      <c r="AX41" s="69" t="str">
        <f t="shared" si="23"/>
        <v>2:48:703</v>
      </c>
      <c r="AY41" s="69" t="str">
        <f t="shared" si="24"/>
        <v>-</v>
      </c>
      <c r="AZ41" s="69" t="str">
        <f t="shared" si="25"/>
        <v>2:41:056</v>
      </c>
      <c r="BA41" s="69" t="str">
        <f t="shared" si="26"/>
        <v>2:41:056</v>
      </c>
      <c r="BB41" s="69" t="str">
        <f t="shared" si="27"/>
        <v>-</v>
      </c>
      <c r="BC41" s="69" t="str">
        <f t="shared" si="28"/>
        <v>2:41:056</v>
      </c>
      <c r="BD41" s="70">
        <f t="shared" si="29"/>
        <v>1.650062496</v>
      </c>
      <c r="BE41" s="70">
        <f t="shared" si="30"/>
        <v>1.650062496</v>
      </c>
      <c r="BF41" s="147">
        <f t="shared" si="31"/>
        <v>168703</v>
      </c>
      <c r="BG41" s="147">
        <f t="shared" si="32"/>
        <v>161056</v>
      </c>
      <c r="BH41" s="1">
        <f t="shared" si="33"/>
        <v>161056</v>
      </c>
      <c r="BI41" s="1">
        <f t="shared" si="34"/>
        <v>16105625</v>
      </c>
      <c r="BJ41" s="1">
        <f t="shared" si="35"/>
        <v>700016105625</v>
      </c>
      <c r="BK41" s="1">
        <f t="shared" si="36"/>
        <v>161056</v>
      </c>
      <c r="BL41" s="1">
        <f t="shared" si="37"/>
        <v>50</v>
      </c>
      <c r="BM41" s="1" t="str">
        <f t="shared" si="38"/>
        <v>総合54</v>
      </c>
      <c r="BN41" s="1">
        <f t="shared" si="39"/>
        <v>11</v>
      </c>
      <c r="BO41" s="1" t="str">
        <f t="shared" si="40"/>
        <v>N11</v>
      </c>
      <c r="BP41" s="1" t="str">
        <f t="shared" si="41"/>
        <v>-</v>
      </c>
      <c r="BQ41" s="1" t="str">
        <f t="shared" si="42"/>
        <v>セパハン-</v>
      </c>
      <c r="BR41" s="1" t="str">
        <f t="shared" si="43"/>
        <v>-</v>
      </c>
      <c r="BS41" s="1" t="str">
        <f t="shared" si="44"/>
        <v>ミニ-</v>
      </c>
      <c r="BT41" s="1"/>
      <c r="BU41" s="1"/>
      <c r="BV41" s="1"/>
      <c r="BW41" s="1"/>
      <c r="BX41" s="1"/>
    </row>
    <row r="42">
      <c r="A42" s="1"/>
      <c r="B42" s="148" t="str">
        <f t="array" ref="B42">IFERROR(INDEX('DB(読み込みシート※編集厳禁)'!$A$3:$AH$501,MATCH($C42,'DB(読み込みシート※編集厳禁)'!$B$3:$B$501,0),MATCH(B$14,'DB(読み込みシート※編集厳禁)'!$A$2:$AH$2,0)),"")</f>
        <v>N</v>
      </c>
      <c r="C42" s="149">
        <v>26.0</v>
      </c>
      <c r="D42" s="169" t="str">
        <f t="array" ref="D42">IFERROR(INDEX('DB(読み込みシート※編集厳禁)'!$A$3:$AH$501,MATCH($C42,'DB(読み込みシート※編集厳禁)'!$B$3:$B$501,0),MATCH(D$14,'DB(読み込みシート※編集厳禁)'!$A$2:$AH$2,0)),"")</f>
        <v>まさじぃ</v>
      </c>
      <c r="E42" s="170" t="str">
        <f t="array" ref="E42">IFERROR(INDEX('DB(読み込みシート※編集厳禁)'!$A$3:$AH$501,MATCH($C42,'DB(読み込みシート※編集厳禁)'!$B$3:$B$501,0),MATCH(E$14,'DB(読み込みシート※編集厳禁)'!$A$2:$AH$2,0)),"")</f>
        <v>GSX-S1000</v>
      </c>
      <c r="F42" s="171" t="str">
        <f t="array" ref="F42">IFERROR(INDEX('DB(読み込みシート※編集厳禁)'!$A$3:$AH$501,MATCH($C42,'DB(読み込みシート※編集厳禁)'!$B$3:$B$501,0),MATCH(F$14,'DB(読み込みシート※編集厳禁)'!$A$2:$AH$2,0)),"")</f>
        <v>黒/青</v>
      </c>
      <c r="G42" s="133" t="str">
        <f t="shared" si="8"/>
        <v>9:99:999</v>
      </c>
      <c r="H42" s="152" t="str">
        <f t="shared" si="9"/>
        <v>9:99:999</v>
      </c>
      <c r="I42" s="135">
        <v>201085.0</v>
      </c>
      <c r="J42" s="166"/>
      <c r="K42" s="137" t="s">
        <v>9</v>
      </c>
      <c r="L42" s="138" t="str">
        <f t="shared" si="10"/>
        <v>2</v>
      </c>
      <c r="M42" s="139" t="str">
        <f t="shared" si="11"/>
        <v>01</v>
      </c>
      <c r="N42" s="140" t="str">
        <f t="shared" si="12"/>
        <v>085</v>
      </c>
      <c r="O42" s="141" t="str">
        <f t="shared" si="13"/>
        <v>2:17:950</v>
      </c>
      <c r="P42" s="162" t="str">
        <f t="shared" si="14"/>
        <v>2:19:950</v>
      </c>
      <c r="Q42" s="148" t="str">
        <f t="array" ref="Q42">IFERROR(INDEX('DB(読み込みシート※編集厳禁)'!$A$3:$AH$501,MATCH($C42,'DB(読み込みシート※編集厳禁)'!$B$3:$B$501,0),MATCH(Q$14,'DB(読み込みシート※編集厳禁)'!$A$2:$AH$2,0)),"")</f>
        <v>N</v>
      </c>
      <c r="R42" s="149">
        <v>26.0</v>
      </c>
      <c r="S42" s="169" t="str">
        <f t="array" ref="S42">IFERROR(INDEX('DB(読み込みシート※編集厳禁)'!$A$3:$AH$501,MATCH($C42,'DB(読み込みシート※編集厳禁)'!$B$3:$B$501,0),MATCH(S$14,'DB(読み込みシート※編集厳禁)'!$A$2:$AH$2,0)),"")</f>
        <v>まさじぃ</v>
      </c>
      <c r="T42" s="170" t="str">
        <f t="array" ref="T42">IFERROR(INDEX('DB(読み込みシート※編集厳禁)'!$A$3:$AH$501,MATCH($C42,'DB(読み込みシート※編集厳禁)'!$B$3:$B$501,0),MATCH(T$14,'DB(読み込みシート※編集厳禁)'!$A$2:$AH$2,0)),"")</f>
        <v>GSX-S1000</v>
      </c>
      <c r="U42" s="135">
        <v>217950.0</v>
      </c>
      <c r="V42" s="166">
        <v>2.0</v>
      </c>
      <c r="W42" s="137" t="s">
        <v>15</v>
      </c>
      <c r="X42" s="138" t="str">
        <f t="shared" si="15"/>
        <v>2</v>
      </c>
      <c r="Y42" s="139" t="str">
        <f t="shared" si="16"/>
        <v>17</v>
      </c>
      <c r="Z42" s="144" t="str">
        <f t="shared" si="17"/>
        <v>950</v>
      </c>
      <c r="AA42" s="1"/>
      <c r="AB42" s="6"/>
      <c r="AC42" s="6"/>
      <c r="AD42" s="6"/>
      <c r="AE42" s="6"/>
      <c r="AF42" s="6"/>
      <c r="AG42" s="6">
        <f t="shared" si="18"/>
        <v>110000</v>
      </c>
      <c r="AH42" s="6">
        <f t="shared" si="19"/>
        <v>112026</v>
      </c>
      <c r="AI42" s="6" t="str">
        <f t="shared" si="20"/>
        <v>N-9</v>
      </c>
      <c r="AJ42" s="6"/>
      <c r="AK42" s="6" t="str">
        <f t="shared" si="21"/>
        <v/>
      </c>
      <c r="AL42" s="6"/>
      <c r="AM42" s="6"/>
      <c r="AN42" s="6"/>
      <c r="AO42" s="6"/>
      <c r="AP42" s="6"/>
      <c r="AQ42" s="7"/>
      <c r="AR42" s="69"/>
      <c r="AS42" s="69"/>
      <c r="AT42" s="39">
        <v>26.0</v>
      </c>
      <c r="AU42" s="69" t="str">
        <f t="array" ref="AU42">IFERROR(INDEX('DB(読み込みシート※編集厳禁)'!$A$3:$AH$501,MATCH($C42,'DB(読み込みシート※編集厳禁)'!$B$3:$B$501,0),MATCH(AU$16,'DB(読み込みシート※編集厳禁)'!$A$2:$AH$2,0)),"")</f>
        <v>いいえ</v>
      </c>
      <c r="AV42" s="69" t="str">
        <f t="array" ref="AV42">IFERROR(INDEX('DB(読み込みシート※編集厳禁)'!$A$3:$AH$501,MATCH($C42,'DB(読み込みシート※編集厳禁)'!$B$3:$B$501,0),MATCH(AV$16,'DB(読み込みシート※編集厳禁)'!$A$2:$AH$2,0)),"")</f>
        <v>いいえ</v>
      </c>
      <c r="AW42" s="69" t="str">
        <f t="shared" si="22"/>
        <v>9:99:999</v>
      </c>
      <c r="AX42" s="69" t="str">
        <f t="shared" si="23"/>
        <v>9:99:999</v>
      </c>
      <c r="AY42" s="69" t="str">
        <f t="shared" si="24"/>
        <v>MC</v>
      </c>
      <c r="AZ42" s="69" t="str">
        <f t="shared" si="25"/>
        <v>2:17:950</v>
      </c>
      <c r="BA42" s="69" t="str">
        <f t="shared" si="26"/>
        <v>2:19:950</v>
      </c>
      <c r="BB42" s="69">
        <f t="shared" si="27"/>
        <v>2</v>
      </c>
      <c r="BC42" s="69" t="str">
        <f t="shared" si="28"/>
        <v>2:19:950</v>
      </c>
      <c r="BD42" s="70">
        <f t="shared" si="29"/>
        <v>1.433825789</v>
      </c>
      <c r="BE42" s="70">
        <f t="shared" si="30"/>
        <v>1.433825789</v>
      </c>
      <c r="BF42" s="1">
        <f t="shared" si="31"/>
        <v>999999</v>
      </c>
      <c r="BG42" s="147">
        <f t="shared" si="32"/>
        <v>139950</v>
      </c>
      <c r="BH42" s="1">
        <f t="shared" si="33"/>
        <v>139950</v>
      </c>
      <c r="BI42" s="1">
        <f t="shared" si="34"/>
        <v>13995026</v>
      </c>
      <c r="BJ42" s="1">
        <f t="shared" si="35"/>
        <v>700013995026</v>
      </c>
      <c r="BK42" s="1">
        <f t="shared" si="36"/>
        <v>139950</v>
      </c>
      <c r="BL42" s="1">
        <f t="shared" si="37"/>
        <v>48</v>
      </c>
      <c r="BM42" s="1" t="str">
        <f t="shared" si="38"/>
        <v>総合52</v>
      </c>
      <c r="BN42" s="1">
        <f t="shared" si="39"/>
        <v>9</v>
      </c>
      <c r="BO42" s="1" t="str">
        <f t="shared" si="40"/>
        <v>N9</v>
      </c>
      <c r="BP42" s="1" t="str">
        <f t="shared" si="41"/>
        <v>-</v>
      </c>
      <c r="BQ42" s="1" t="str">
        <f t="shared" si="42"/>
        <v>セパハン-</v>
      </c>
      <c r="BR42" s="1" t="str">
        <f t="shared" si="43"/>
        <v>-</v>
      </c>
      <c r="BS42" s="1" t="str">
        <f t="shared" si="44"/>
        <v>ミニ-</v>
      </c>
      <c r="BT42" s="1"/>
      <c r="BU42" s="1"/>
      <c r="BV42" s="1"/>
      <c r="BW42" s="1"/>
      <c r="BX42" s="1"/>
    </row>
    <row r="43">
      <c r="A43" s="1"/>
      <c r="B43" s="148" t="str">
        <f t="array" ref="B43">IFERROR(INDEX('DB(読み込みシート※編集厳禁)'!$A$3:$AH$501,MATCH($C43,'DB(読み込みシート※編集厳禁)'!$B$3:$B$501,0),MATCH(B$14,'DB(読み込みシート※編集厳禁)'!$A$2:$AH$2,0)),"")</f>
        <v>N</v>
      </c>
      <c r="C43" s="149">
        <v>27.0</v>
      </c>
      <c r="D43" s="169" t="str">
        <f t="array" ref="D43">IFERROR(INDEX('DB(読み込みシート※編集厳禁)'!$A$3:$AH$501,MATCH($C43,'DB(読み込みシート※編集厳禁)'!$B$3:$B$501,0),MATCH(D$14,'DB(読み込みシート※編集厳禁)'!$A$2:$AH$2,0)),"")</f>
        <v>はるか</v>
      </c>
      <c r="E43" s="170" t="str">
        <f t="array" ref="E43">IFERROR(INDEX('DB(読み込みシート※編集厳禁)'!$A$3:$AH$501,MATCH($C43,'DB(読み込みシート※編集厳禁)'!$B$3:$B$501,0),MATCH(E$14,'DB(読み込みシート※編集厳禁)'!$A$2:$AH$2,0)),"")</f>
        <v>GROM</v>
      </c>
      <c r="F43" s="171" t="str">
        <f t="array" ref="F43">IFERROR(INDEX('DB(読み込みシート※編集厳禁)'!$A$3:$AH$501,MATCH($C43,'DB(読み込みシート※編集厳禁)'!$B$3:$B$501,0),MATCH(F$14,'DB(読み込みシート※編集厳禁)'!$A$2:$AH$2,0)),"")</f>
        <v>黄色</v>
      </c>
      <c r="G43" s="133" t="str">
        <f t="shared" si="8"/>
        <v>1:52:831</v>
      </c>
      <c r="H43" s="152" t="str">
        <f t="shared" si="9"/>
        <v>1:52:831</v>
      </c>
      <c r="I43" s="135">
        <v>152831.0</v>
      </c>
      <c r="J43" s="166"/>
      <c r="K43" s="137" t="s">
        <v>15</v>
      </c>
      <c r="L43" s="138" t="str">
        <f t="shared" si="10"/>
        <v>1</v>
      </c>
      <c r="M43" s="139" t="str">
        <f t="shared" si="11"/>
        <v>52</v>
      </c>
      <c r="N43" s="140" t="str">
        <f t="shared" si="12"/>
        <v>831</v>
      </c>
      <c r="O43" s="141" t="str">
        <f t="shared" si="13"/>
        <v>9:99:999</v>
      </c>
      <c r="P43" s="162" t="str">
        <f t="shared" si="14"/>
        <v>9:99:999</v>
      </c>
      <c r="Q43" s="148" t="str">
        <f t="array" ref="Q43">IFERROR(INDEX('DB(読み込みシート※編集厳禁)'!$A$3:$AH$501,MATCH($C43,'DB(読み込みシート※編集厳禁)'!$B$3:$B$501,0),MATCH(Q$14,'DB(読み込みシート※編集厳禁)'!$A$2:$AH$2,0)),"")</f>
        <v>N</v>
      </c>
      <c r="R43" s="149">
        <v>27.0</v>
      </c>
      <c r="S43" s="169" t="str">
        <f t="array" ref="S43">IFERROR(INDEX('DB(読み込みシート※編集厳禁)'!$A$3:$AH$501,MATCH($C43,'DB(読み込みシート※編集厳禁)'!$B$3:$B$501,0),MATCH(S$14,'DB(読み込みシート※編集厳禁)'!$A$2:$AH$2,0)),"")</f>
        <v>はるか</v>
      </c>
      <c r="T43" s="170" t="str">
        <f t="array" ref="T43">IFERROR(INDEX('DB(読み込みシート※編集厳禁)'!$A$3:$AH$501,MATCH($C43,'DB(読み込みシート※編集厳禁)'!$B$3:$B$501,0),MATCH(T$14,'DB(読み込みシート※編集厳禁)'!$A$2:$AH$2,0)),"")</f>
        <v>GROM</v>
      </c>
      <c r="U43" s="135">
        <v>155640.0</v>
      </c>
      <c r="V43" s="166"/>
      <c r="W43" s="137" t="s">
        <v>9</v>
      </c>
      <c r="X43" s="138" t="str">
        <f t="shared" si="15"/>
        <v>1</v>
      </c>
      <c r="Y43" s="139" t="str">
        <f t="shared" si="16"/>
        <v>55</v>
      </c>
      <c r="Z43" s="144" t="str">
        <f t="shared" si="17"/>
        <v>640</v>
      </c>
      <c r="AA43" s="1"/>
      <c r="AB43" s="6"/>
      <c r="AC43" s="6"/>
      <c r="AD43" s="6"/>
      <c r="AE43" s="6"/>
      <c r="AF43" s="6"/>
      <c r="AG43" s="6">
        <f t="shared" si="18"/>
        <v>110000</v>
      </c>
      <c r="AH43" s="6">
        <f t="shared" si="19"/>
        <v>112027</v>
      </c>
      <c r="AI43" s="6" t="str">
        <f t="shared" si="20"/>
        <v>N-1</v>
      </c>
      <c r="AJ43" s="6"/>
      <c r="AK43" s="6" t="str">
        <f t="shared" si="21"/>
        <v/>
      </c>
      <c r="AL43" s="6"/>
      <c r="AM43" s="6"/>
      <c r="AN43" s="6"/>
      <c r="AO43" s="6"/>
      <c r="AP43" s="6"/>
      <c r="AQ43" s="7"/>
      <c r="AR43" s="69"/>
      <c r="AS43" s="69"/>
      <c r="AT43" s="39">
        <v>27.0</v>
      </c>
      <c r="AU43" s="69" t="str">
        <f t="array" ref="AU43">IFERROR(INDEX('DB(読み込みシート※編集厳禁)'!$A$3:$AH$501,MATCH($C43,'DB(読み込みシート※編集厳禁)'!$B$3:$B$501,0),MATCH(AU$16,'DB(読み込みシート※編集厳禁)'!$A$2:$AH$2,0)),"")</f>
        <v>いいえ</v>
      </c>
      <c r="AV43" s="69" t="str">
        <f t="array" ref="AV43">IFERROR(INDEX('DB(読み込みシート※編集厳禁)'!$A$3:$AH$501,MATCH($C43,'DB(読み込みシート※編集厳禁)'!$B$3:$B$501,0),MATCH(AV$16,'DB(読み込みシート※編集厳禁)'!$A$2:$AH$2,0)),"")</f>
        <v>はい</v>
      </c>
      <c r="AW43" s="69" t="str">
        <f t="shared" si="22"/>
        <v>1:52:831</v>
      </c>
      <c r="AX43" s="69" t="str">
        <f t="shared" si="23"/>
        <v>1:52:831</v>
      </c>
      <c r="AY43" s="69" t="str">
        <f t="shared" si="24"/>
        <v>-</v>
      </c>
      <c r="AZ43" s="69" t="str">
        <f t="shared" si="25"/>
        <v>9:99:999</v>
      </c>
      <c r="BA43" s="69" t="str">
        <f t="shared" si="26"/>
        <v>9:99:999</v>
      </c>
      <c r="BB43" s="69" t="str">
        <f t="shared" si="27"/>
        <v>MC</v>
      </c>
      <c r="BC43" s="69" t="str">
        <f t="shared" si="28"/>
        <v>1:52:831</v>
      </c>
      <c r="BD43" s="70">
        <f t="shared" si="29"/>
        <v>1.155984263</v>
      </c>
      <c r="BE43" s="70">
        <f t="shared" si="30"/>
        <v>1.155984263</v>
      </c>
      <c r="BF43" s="147">
        <f t="shared" si="31"/>
        <v>112831</v>
      </c>
      <c r="BG43" s="1">
        <f t="shared" si="32"/>
        <v>999999</v>
      </c>
      <c r="BH43" s="1">
        <f t="shared" si="33"/>
        <v>112831</v>
      </c>
      <c r="BI43" s="1">
        <f t="shared" si="34"/>
        <v>11283127</v>
      </c>
      <c r="BJ43" s="1">
        <f t="shared" si="35"/>
        <v>700011283127</v>
      </c>
      <c r="BK43" s="1">
        <f t="shared" si="36"/>
        <v>112831</v>
      </c>
      <c r="BL43" s="1">
        <f t="shared" si="37"/>
        <v>27</v>
      </c>
      <c r="BM43" s="1" t="str">
        <f t="shared" si="38"/>
        <v>総合44</v>
      </c>
      <c r="BN43" s="1">
        <f t="shared" si="39"/>
        <v>1</v>
      </c>
      <c r="BO43" s="1" t="str">
        <f t="shared" si="40"/>
        <v>N1</v>
      </c>
      <c r="BP43" s="1" t="str">
        <f t="shared" si="41"/>
        <v>-</v>
      </c>
      <c r="BQ43" s="1" t="str">
        <f t="shared" si="42"/>
        <v>セパハン-</v>
      </c>
      <c r="BR43" s="1">
        <f t="shared" si="43"/>
        <v>1</v>
      </c>
      <c r="BS43" s="1" t="str">
        <f t="shared" si="44"/>
        <v>ミニ1</v>
      </c>
      <c r="BT43" s="1"/>
      <c r="BU43" s="1"/>
      <c r="BV43" s="1"/>
      <c r="BW43" s="1"/>
      <c r="BX43" s="1"/>
    </row>
    <row r="44">
      <c r="A44" s="1"/>
      <c r="B44" s="148" t="str">
        <f t="array" ref="B44">IFERROR(INDEX('DB(読み込みシート※編集厳禁)'!$A$3:$AH$501,MATCH($C44,'DB(読み込みシート※編集厳禁)'!$B$3:$B$501,0),MATCH(B$14,'DB(読み込みシート※編集厳禁)'!$A$2:$AH$2,0)),"")</f>
        <v>C2</v>
      </c>
      <c r="C44" s="149">
        <v>28.0</v>
      </c>
      <c r="D44" s="169" t="str">
        <f t="array" ref="D44">IFERROR(INDEX('DB(読み込みシート※編集厳禁)'!$A$3:$AH$501,MATCH($C44,'DB(読み込みシート※編集厳禁)'!$B$3:$B$501,0),MATCH(D$14,'DB(読み込みシート※編集厳禁)'!$A$2:$AH$2,0)),"")</f>
        <v>かおる</v>
      </c>
      <c r="E44" s="170" t="str">
        <f t="array" ref="E44">IFERROR(INDEX('DB(読み込みシート※編集厳禁)'!$A$3:$AH$501,MATCH($C44,'DB(読み込みシート※編集厳禁)'!$B$3:$B$501,0),MATCH(E$14,'DB(読み込みシート※編集厳禁)'!$A$2:$AH$2,0)),"")</f>
        <v>VTR250</v>
      </c>
      <c r="F44" s="171" t="str">
        <f t="array" ref="F44">IFERROR(INDEX('DB(読み込みシート※編集厳禁)'!$A$3:$AH$501,MATCH($C44,'DB(読み込みシート※編集厳禁)'!$B$3:$B$501,0),MATCH(F$14,'DB(読み込みシート※編集厳禁)'!$A$2:$AH$2,0)),"")</f>
        <v>青</v>
      </c>
      <c r="G44" s="133" t="str">
        <f t="shared" si="8"/>
        <v>1:53:626</v>
      </c>
      <c r="H44" s="152" t="str">
        <f t="shared" si="9"/>
        <v>1:54:626</v>
      </c>
      <c r="I44" s="135">
        <v>153626.0</v>
      </c>
      <c r="J44" s="166">
        <v>1.0</v>
      </c>
      <c r="K44" s="137" t="s">
        <v>15</v>
      </c>
      <c r="L44" s="138" t="str">
        <f t="shared" si="10"/>
        <v>1</v>
      </c>
      <c r="M44" s="139" t="str">
        <f t="shared" si="11"/>
        <v>53</v>
      </c>
      <c r="N44" s="140" t="str">
        <f t="shared" si="12"/>
        <v>626</v>
      </c>
      <c r="O44" s="141" t="str">
        <f t="shared" si="13"/>
        <v>1:52:407</v>
      </c>
      <c r="P44" s="162" t="str">
        <f t="shared" si="14"/>
        <v>1:52:407</v>
      </c>
      <c r="Q44" s="148" t="str">
        <f t="array" ref="Q44">IFERROR(INDEX('DB(読み込みシート※編集厳禁)'!$A$3:$AH$501,MATCH($C44,'DB(読み込みシート※編集厳禁)'!$B$3:$B$501,0),MATCH(Q$14,'DB(読み込みシート※編集厳禁)'!$A$2:$AH$2,0)),"")</f>
        <v>C2</v>
      </c>
      <c r="R44" s="149">
        <v>28.0</v>
      </c>
      <c r="S44" s="169" t="str">
        <f t="array" ref="S44">IFERROR(INDEX('DB(読み込みシート※編集厳禁)'!$A$3:$AH$501,MATCH($C44,'DB(読み込みシート※編集厳禁)'!$B$3:$B$501,0),MATCH(S$14,'DB(読み込みシート※編集厳禁)'!$A$2:$AH$2,0)),"")</f>
        <v>かおる</v>
      </c>
      <c r="T44" s="170" t="str">
        <f t="array" ref="T44">IFERROR(INDEX('DB(読み込みシート※編集厳禁)'!$A$3:$AH$501,MATCH($C44,'DB(読み込みシート※編集厳禁)'!$B$3:$B$501,0),MATCH(T$14,'DB(読み込みシート※編集厳禁)'!$A$2:$AH$2,0)),"")</f>
        <v>VTR250</v>
      </c>
      <c r="U44" s="135">
        <v>152407.0</v>
      </c>
      <c r="V44" s="166"/>
      <c r="W44" s="137" t="s">
        <v>15</v>
      </c>
      <c r="X44" s="138" t="str">
        <f t="shared" si="15"/>
        <v>1</v>
      </c>
      <c r="Y44" s="139" t="str">
        <f t="shared" si="16"/>
        <v>52</v>
      </c>
      <c r="Z44" s="144" t="str">
        <f t="shared" si="17"/>
        <v>407</v>
      </c>
      <c r="AA44" s="1"/>
      <c r="AB44" s="6"/>
      <c r="AC44" s="6"/>
      <c r="AD44" s="6"/>
      <c r="AE44" s="6"/>
      <c r="AF44" s="6"/>
      <c r="AG44" s="6">
        <f t="shared" si="18"/>
        <v>130000</v>
      </c>
      <c r="AH44" s="6">
        <f t="shared" si="19"/>
        <v>132028</v>
      </c>
      <c r="AI44" s="6" t="str">
        <f t="shared" si="20"/>
        <v>C2-7</v>
      </c>
      <c r="AJ44" s="6"/>
      <c r="AK44" s="6" t="str">
        <f t="shared" si="21"/>
        <v/>
      </c>
      <c r="AL44" s="6"/>
      <c r="AM44" s="6"/>
      <c r="AN44" s="6"/>
      <c r="AO44" s="6"/>
      <c r="AP44" s="6"/>
      <c r="AQ44" s="7"/>
      <c r="AR44" s="69"/>
      <c r="AS44" s="69"/>
      <c r="AT44" s="39">
        <v>28.0</v>
      </c>
      <c r="AU44" s="69" t="str">
        <f t="array" ref="AU44">IFERROR(INDEX('DB(読み込みシート※編集厳禁)'!$A$3:$AH$501,MATCH($C44,'DB(読み込みシート※編集厳禁)'!$B$3:$B$501,0),MATCH(AU$16,'DB(読み込みシート※編集厳禁)'!$A$2:$AH$2,0)),"")</f>
        <v>いいえ</v>
      </c>
      <c r="AV44" s="69" t="str">
        <f t="array" ref="AV44">IFERROR(INDEX('DB(読み込みシート※編集厳禁)'!$A$3:$AH$501,MATCH($C44,'DB(読み込みシート※編集厳禁)'!$B$3:$B$501,0),MATCH(AV$16,'DB(読み込みシート※編集厳禁)'!$A$2:$AH$2,0)),"")</f>
        <v>いいえ</v>
      </c>
      <c r="AW44" s="69" t="str">
        <f t="shared" si="22"/>
        <v>1:53:626</v>
      </c>
      <c r="AX44" s="69" t="str">
        <f t="shared" si="23"/>
        <v>1:54:626</v>
      </c>
      <c r="AY44" s="69">
        <f t="shared" si="24"/>
        <v>1</v>
      </c>
      <c r="AZ44" s="69" t="str">
        <f t="shared" si="25"/>
        <v>1:52:407</v>
      </c>
      <c r="BA44" s="69" t="str">
        <f t="shared" si="26"/>
        <v>1:52:407</v>
      </c>
      <c r="BB44" s="69" t="str">
        <f t="shared" si="27"/>
        <v>-</v>
      </c>
      <c r="BC44" s="69" t="str">
        <f t="shared" si="28"/>
        <v>1:52:407</v>
      </c>
      <c r="BD44" s="70">
        <f t="shared" si="29"/>
        <v>1.151640268</v>
      </c>
      <c r="BE44" s="70">
        <f t="shared" si="30"/>
        <v>1.151640268</v>
      </c>
      <c r="BF44" s="147">
        <f t="shared" si="31"/>
        <v>114626</v>
      </c>
      <c r="BG44" s="147">
        <f t="shared" si="32"/>
        <v>112407</v>
      </c>
      <c r="BH44" s="1">
        <f t="shared" si="33"/>
        <v>112407</v>
      </c>
      <c r="BI44" s="1">
        <f t="shared" si="34"/>
        <v>11240728</v>
      </c>
      <c r="BJ44" s="1">
        <f t="shared" si="35"/>
        <v>400011240728</v>
      </c>
      <c r="BK44" s="1">
        <f t="shared" si="36"/>
        <v>112407</v>
      </c>
      <c r="BL44" s="1">
        <f t="shared" si="37"/>
        <v>25</v>
      </c>
      <c r="BM44" s="1" t="str">
        <f t="shared" si="38"/>
        <v>総合24</v>
      </c>
      <c r="BN44" s="1">
        <f t="shared" si="39"/>
        <v>7</v>
      </c>
      <c r="BO44" s="1" t="str">
        <f t="shared" si="40"/>
        <v>C27</v>
      </c>
      <c r="BP44" s="1" t="str">
        <f t="shared" si="41"/>
        <v>-</v>
      </c>
      <c r="BQ44" s="1" t="str">
        <f t="shared" si="42"/>
        <v>セパハン-</v>
      </c>
      <c r="BR44" s="1" t="str">
        <f t="shared" si="43"/>
        <v>-</v>
      </c>
      <c r="BS44" s="1" t="str">
        <f t="shared" si="44"/>
        <v>ミニ-</v>
      </c>
      <c r="BT44" s="1"/>
      <c r="BU44" s="1"/>
      <c r="BV44" s="1"/>
      <c r="BW44" s="1"/>
      <c r="BX44" s="1"/>
    </row>
    <row r="45">
      <c r="A45" s="1"/>
      <c r="B45" s="148" t="str">
        <f t="array" ref="B45">IFERROR(INDEX('DB(読み込みシート※編集厳禁)'!$A$3:$AH$501,MATCH($C45,'DB(読み込みシート※編集厳禁)'!$B$3:$B$501,0),MATCH(B$14,'DB(読み込みシート※編集厳禁)'!$A$2:$AH$2,0)),"")</f>
        <v>C2</v>
      </c>
      <c r="C45" s="149">
        <v>29.0</v>
      </c>
      <c r="D45" s="169" t="str">
        <f t="array" ref="D45">IFERROR(INDEX('DB(読み込みシート※編集厳禁)'!$A$3:$AH$501,MATCH($C45,'DB(読み込みシート※編集厳禁)'!$B$3:$B$501,0),MATCH(D$14,'DB(読み込みシート※編集厳禁)'!$A$2:$AH$2,0)),"")</f>
        <v>どーやP</v>
      </c>
      <c r="E45" s="170" t="str">
        <f t="array" ref="E45">IFERROR(INDEX('DB(読み込みシート※編集厳禁)'!$A$3:$AH$501,MATCH($C45,'DB(読み込みシート※編集厳禁)'!$B$3:$B$501,0),MATCH(E$14,'DB(読み込みシート※編集厳禁)'!$A$2:$AH$2,0)),"")</f>
        <v>Z400</v>
      </c>
      <c r="F45" s="171" t="str">
        <f t="array" ref="F45">IFERROR(INDEX('DB(読み込みシート※編集厳禁)'!$A$3:$AH$501,MATCH($C45,'DB(読み込みシート※編集厳禁)'!$B$3:$B$501,0),MATCH(F$14,'DB(読み込みシート※編集厳禁)'!$A$2:$AH$2,0)),"")</f>
        <v>黒</v>
      </c>
      <c r="G45" s="133" t="str">
        <f t="shared" si="8"/>
        <v>2:02:742</v>
      </c>
      <c r="H45" s="152" t="str">
        <f t="shared" si="9"/>
        <v>2:03:742</v>
      </c>
      <c r="I45" s="135">
        <v>202742.0</v>
      </c>
      <c r="J45" s="166">
        <v>1.0</v>
      </c>
      <c r="K45" s="137" t="s">
        <v>15</v>
      </c>
      <c r="L45" s="138" t="str">
        <f t="shared" si="10"/>
        <v>2</v>
      </c>
      <c r="M45" s="139" t="str">
        <f t="shared" si="11"/>
        <v>02</v>
      </c>
      <c r="N45" s="140" t="str">
        <f t="shared" si="12"/>
        <v>742</v>
      </c>
      <c r="O45" s="141" t="str">
        <f t="shared" si="13"/>
        <v>1:52:470</v>
      </c>
      <c r="P45" s="162" t="str">
        <f t="shared" si="14"/>
        <v>1:53:470</v>
      </c>
      <c r="Q45" s="148" t="str">
        <f t="array" ref="Q45">IFERROR(INDEX('DB(読み込みシート※編集厳禁)'!$A$3:$AH$501,MATCH($C45,'DB(読み込みシート※編集厳禁)'!$B$3:$B$501,0),MATCH(Q$14,'DB(読み込みシート※編集厳禁)'!$A$2:$AH$2,0)),"")</f>
        <v>C2</v>
      </c>
      <c r="R45" s="149">
        <v>29.0</v>
      </c>
      <c r="S45" s="169" t="str">
        <f t="array" ref="S45">IFERROR(INDEX('DB(読み込みシート※編集厳禁)'!$A$3:$AH$501,MATCH($C45,'DB(読み込みシート※編集厳禁)'!$B$3:$B$501,0),MATCH(S$14,'DB(読み込みシート※編集厳禁)'!$A$2:$AH$2,0)),"")</f>
        <v>どーやP</v>
      </c>
      <c r="T45" s="170" t="str">
        <f t="array" ref="T45">IFERROR(INDEX('DB(読み込みシート※編集厳禁)'!$A$3:$AH$501,MATCH($C45,'DB(読み込みシート※編集厳禁)'!$B$3:$B$501,0),MATCH(T$14,'DB(読み込みシート※編集厳禁)'!$A$2:$AH$2,0)),"")</f>
        <v>Z400</v>
      </c>
      <c r="U45" s="135">
        <v>152470.0</v>
      </c>
      <c r="V45" s="166">
        <v>1.0</v>
      </c>
      <c r="W45" s="137" t="s">
        <v>15</v>
      </c>
      <c r="X45" s="138" t="str">
        <f t="shared" si="15"/>
        <v>1</v>
      </c>
      <c r="Y45" s="139" t="str">
        <f t="shared" si="16"/>
        <v>52</v>
      </c>
      <c r="Z45" s="144" t="str">
        <f t="shared" si="17"/>
        <v>470</v>
      </c>
      <c r="AA45" s="1"/>
      <c r="AB45" s="6"/>
      <c r="AC45" s="6"/>
      <c r="AD45" s="6"/>
      <c r="AE45" s="6"/>
      <c r="AF45" s="6"/>
      <c r="AG45" s="6">
        <f t="shared" si="18"/>
        <v>130000</v>
      </c>
      <c r="AH45" s="6">
        <f t="shared" si="19"/>
        <v>132029</v>
      </c>
      <c r="AI45" s="6" t="str">
        <f t="shared" si="20"/>
        <v>C2-8</v>
      </c>
      <c r="AJ45" s="6"/>
      <c r="AK45" s="6" t="str">
        <f t="shared" si="21"/>
        <v/>
      </c>
      <c r="AL45" s="6"/>
      <c r="AM45" s="6"/>
      <c r="AN45" s="6"/>
      <c r="AO45" s="6"/>
      <c r="AP45" s="6"/>
      <c r="AQ45" s="7"/>
      <c r="AR45" s="69"/>
      <c r="AS45" s="69"/>
      <c r="AT45" s="39">
        <v>29.0</v>
      </c>
      <c r="AU45" s="69" t="str">
        <f t="array" ref="AU45">IFERROR(INDEX('DB(読み込みシート※編集厳禁)'!$A$3:$AH$501,MATCH($C45,'DB(読み込みシート※編集厳禁)'!$B$3:$B$501,0),MATCH(AU$16,'DB(読み込みシート※編集厳禁)'!$A$2:$AH$2,0)),"")</f>
        <v>いいえ</v>
      </c>
      <c r="AV45" s="69" t="str">
        <f t="array" ref="AV45">IFERROR(INDEX('DB(読み込みシート※編集厳禁)'!$A$3:$AH$501,MATCH($C45,'DB(読み込みシート※編集厳禁)'!$B$3:$B$501,0),MATCH(AV$16,'DB(読み込みシート※編集厳禁)'!$A$2:$AH$2,0)),"")</f>
        <v>いいえ</v>
      </c>
      <c r="AW45" s="69" t="str">
        <f t="shared" si="22"/>
        <v>2:02:742</v>
      </c>
      <c r="AX45" s="69" t="str">
        <f t="shared" si="23"/>
        <v>2:03:742</v>
      </c>
      <c r="AY45" s="69">
        <f t="shared" si="24"/>
        <v>1</v>
      </c>
      <c r="AZ45" s="69" t="str">
        <f t="shared" si="25"/>
        <v>1:52:470</v>
      </c>
      <c r="BA45" s="69" t="str">
        <f t="shared" si="26"/>
        <v>1:53:470</v>
      </c>
      <c r="BB45" s="69">
        <f t="shared" si="27"/>
        <v>1</v>
      </c>
      <c r="BC45" s="69" t="str">
        <f t="shared" si="28"/>
        <v>1:53:470</v>
      </c>
      <c r="BD45" s="70">
        <f t="shared" si="29"/>
        <v>1.162530992</v>
      </c>
      <c r="BE45" s="70">
        <f t="shared" si="30"/>
        <v>1.162530992</v>
      </c>
      <c r="BF45" s="147">
        <f t="shared" si="31"/>
        <v>123742</v>
      </c>
      <c r="BG45" s="147">
        <f t="shared" si="32"/>
        <v>113470</v>
      </c>
      <c r="BH45" s="1">
        <f t="shared" si="33"/>
        <v>113470</v>
      </c>
      <c r="BI45" s="1">
        <f t="shared" si="34"/>
        <v>11347029</v>
      </c>
      <c r="BJ45" s="1">
        <f t="shared" si="35"/>
        <v>400011347029</v>
      </c>
      <c r="BK45" s="1">
        <f t="shared" si="36"/>
        <v>113470</v>
      </c>
      <c r="BL45" s="1">
        <f t="shared" si="37"/>
        <v>29</v>
      </c>
      <c r="BM45" s="1" t="str">
        <f t="shared" si="38"/>
        <v>総合25</v>
      </c>
      <c r="BN45" s="1">
        <f t="shared" si="39"/>
        <v>8</v>
      </c>
      <c r="BO45" s="1" t="str">
        <f t="shared" si="40"/>
        <v>C28</v>
      </c>
      <c r="BP45" s="1" t="str">
        <f t="shared" si="41"/>
        <v>-</v>
      </c>
      <c r="BQ45" s="1" t="str">
        <f t="shared" si="42"/>
        <v>セパハン-</v>
      </c>
      <c r="BR45" s="1" t="str">
        <f t="shared" si="43"/>
        <v>-</v>
      </c>
      <c r="BS45" s="1" t="str">
        <f t="shared" si="44"/>
        <v>ミニ-</v>
      </c>
      <c r="BT45" s="1"/>
      <c r="BU45" s="1"/>
      <c r="BV45" s="1"/>
      <c r="BW45" s="1"/>
      <c r="BX45" s="1"/>
    </row>
    <row r="46">
      <c r="A46" s="1"/>
      <c r="B46" s="148" t="str">
        <f t="array" ref="B46">IFERROR(INDEX('DB(読み込みシート※編集厳禁)'!$A$3:$AH$501,MATCH($C46,'DB(読み込みシート※編集厳禁)'!$B$3:$B$501,0),MATCH(B$14,'DB(読み込みシート※編集厳禁)'!$A$2:$AH$2,0)),"")</f>
        <v>C2</v>
      </c>
      <c r="C46" s="149">
        <v>30.0</v>
      </c>
      <c r="D46" s="169" t="str">
        <f t="array" ref="D46">IFERROR(INDEX('DB(読み込みシート※編集厳禁)'!$A$3:$AH$501,MATCH($C46,'DB(読み込みシート※編集厳禁)'!$B$3:$B$501,0),MATCH(D$14,'DB(読み込みシート※編集厳禁)'!$A$2:$AH$2,0)),"")</f>
        <v>まる</v>
      </c>
      <c r="E46" s="170" t="str">
        <f t="array" ref="E46">IFERROR(INDEX('DB(読み込みシート※編集厳禁)'!$A$3:$AH$501,MATCH($C46,'DB(読み込みシート※編集厳禁)'!$B$3:$B$501,0),MATCH(E$14,'DB(読み込みシート※編集厳禁)'!$A$2:$AH$2,0)),"")</f>
        <v>VTR</v>
      </c>
      <c r="F46" s="171" t="str">
        <f t="array" ref="F46">IFERROR(INDEX('DB(読み込みシート※編集厳禁)'!$A$3:$AH$501,MATCH($C46,'DB(読み込みシート※編集厳禁)'!$B$3:$B$501,0),MATCH(F$14,'DB(読み込みシート※編集厳禁)'!$A$2:$AH$2,0)),"")</f>
        <v>白/黄</v>
      </c>
      <c r="G46" s="133" t="str">
        <f t="shared" si="8"/>
        <v>1:58:134</v>
      </c>
      <c r="H46" s="152" t="str">
        <f t="shared" si="9"/>
        <v>1:59:134</v>
      </c>
      <c r="I46" s="135">
        <v>158134.0</v>
      </c>
      <c r="J46" s="166">
        <v>1.0</v>
      </c>
      <c r="K46" s="137" t="s">
        <v>15</v>
      </c>
      <c r="L46" s="138" t="str">
        <f t="shared" si="10"/>
        <v>1</v>
      </c>
      <c r="M46" s="139" t="str">
        <f t="shared" si="11"/>
        <v>58</v>
      </c>
      <c r="N46" s="140" t="str">
        <f t="shared" si="12"/>
        <v>134</v>
      </c>
      <c r="O46" s="141" t="str">
        <f t="shared" si="13"/>
        <v>1:51:148</v>
      </c>
      <c r="P46" s="162" t="str">
        <f t="shared" si="14"/>
        <v>1:51:148</v>
      </c>
      <c r="Q46" s="148" t="str">
        <f t="array" ref="Q46">IFERROR(INDEX('DB(読み込みシート※編集厳禁)'!$A$3:$AH$501,MATCH($C46,'DB(読み込みシート※編集厳禁)'!$B$3:$B$501,0),MATCH(Q$14,'DB(読み込みシート※編集厳禁)'!$A$2:$AH$2,0)),"")</f>
        <v>C2</v>
      </c>
      <c r="R46" s="149">
        <v>30.0</v>
      </c>
      <c r="S46" s="169" t="str">
        <f t="array" ref="S46">IFERROR(INDEX('DB(読み込みシート※編集厳禁)'!$A$3:$AH$501,MATCH($C46,'DB(読み込みシート※編集厳禁)'!$B$3:$B$501,0),MATCH(S$14,'DB(読み込みシート※編集厳禁)'!$A$2:$AH$2,0)),"")</f>
        <v>まる</v>
      </c>
      <c r="T46" s="170" t="str">
        <f t="array" ref="T46">IFERROR(INDEX('DB(読み込みシート※編集厳禁)'!$A$3:$AH$501,MATCH($C46,'DB(読み込みシート※編集厳禁)'!$B$3:$B$501,0),MATCH(T$14,'DB(読み込みシート※編集厳禁)'!$A$2:$AH$2,0)),"")</f>
        <v>VTR</v>
      </c>
      <c r="U46" s="135">
        <v>151148.0</v>
      </c>
      <c r="V46" s="166"/>
      <c r="W46" s="137" t="s">
        <v>15</v>
      </c>
      <c r="X46" s="138" t="str">
        <f t="shared" si="15"/>
        <v>1</v>
      </c>
      <c r="Y46" s="139" t="str">
        <f t="shared" si="16"/>
        <v>51</v>
      </c>
      <c r="Z46" s="144" t="str">
        <f t="shared" si="17"/>
        <v>148</v>
      </c>
      <c r="AA46" s="1"/>
      <c r="AB46" s="6"/>
      <c r="AC46" s="6"/>
      <c r="AD46" s="6"/>
      <c r="AE46" s="6"/>
      <c r="AF46" s="6"/>
      <c r="AG46" s="6">
        <f t="shared" si="18"/>
        <v>130000</v>
      </c>
      <c r="AH46" s="6">
        <f t="shared" si="19"/>
        <v>132030</v>
      </c>
      <c r="AI46" s="6" t="str">
        <f t="shared" si="20"/>
        <v>C2-6</v>
      </c>
      <c r="AJ46" s="6"/>
      <c r="AK46" s="6" t="str">
        <f t="shared" si="21"/>
        <v/>
      </c>
      <c r="AL46" s="6"/>
      <c r="AM46" s="6"/>
      <c r="AN46" s="6"/>
      <c r="AO46" s="6"/>
      <c r="AP46" s="6"/>
      <c r="AQ46" s="7"/>
      <c r="AR46" s="69"/>
      <c r="AS46" s="69"/>
      <c r="AT46" s="39">
        <v>30.0</v>
      </c>
      <c r="AU46" s="69" t="str">
        <f t="array" ref="AU46">IFERROR(INDEX('DB(読み込みシート※編集厳禁)'!$A$3:$AH$501,MATCH($C46,'DB(読み込みシート※編集厳禁)'!$B$3:$B$501,0),MATCH(AU$16,'DB(読み込みシート※編集厳禁)'!$A$2:$AH$2,0)),"")</f>
        <v>いいえ</v>
      </c>
      <c r="AV46" s="69" t="str">
        <f t="array" ref="AV46">IFERROR(INDEX('DB(読み込みシート※編集厳禁)'!$A$3:$AH$501,MATCH($C46,'DB(読み込みシート※編集厳禁)'!$B$3:$B$501,0),MATCH(AV$16,'DB(読み込みシート※編集厳禁)'!$A$2:$AH$2,0)),"")</f>
        <v>いいえ</v>
      </c>
      <c r="AW46" s="69" t="str">
        <f t="shared" si="22"/>
        <v>1:58:134</v>
      </c>
      <c r="AX46" s="69" t="str">
        <f t="shared" si="23"/>
        <v>1:59:134</v>
      </c>
      <c r="AY46" s="69">
        <f t="shared" si="24"/>
        <v>1</v>
      </c>
      <c r="AZ46" s="69" t="str">
        <f t="shared" si="25"/>
        <v>1:51:148</v>
      </c>
      <c r="BA46" s="69" t="str">
        <f t="shared" si="26"/>
        <v>1:51:148</v>
      </c>
      <c r="BB46" s="69" t="str">
        <f t="shared" si="27"/>
        <v>-</v>
      </c>
      <c r="BC46" s="69" t="str">
        <f t="shared" si="28"/>
        <v>1:51:148</v>
      </c>
      <c r="BD46" s="70">
        <f t="shared" si="29"/>
        <v>1.138741471</v>
      </c>
      <c r="BE46" s="70">
        <f t="shared" si="30"/>
        <v>1.138741471</v>
      </c>
      <c r="BF46" s="147">
        <f t="shared" si="31"/>
        <v>119134</v>
      </c>
      <c r="BG46" s="147">
        <f t="shared" si="32"/>
        <v>111148</v>
      </c>
      <c r="BH46" s="1">
        <f t="shared" si="33"/>
        <v>111148</v>
      </c>
      <c r="BI46" s="1">
        <f t="shared" si="34"/>
        <v>11114830</v>
      </c>
      <c r="BJ46" s="1">
        <f t="shared" si="35"/>
        <v>400011114830</v>
      </c>
      <c r="BK46" s="1">
        <f t="shared" si="36"/>
        <v>111148</v>
      </c>
      <c r="BL46" s="1">
        <f t="shared" si="37"/>
        <v>23</v>
      </c>
      <c r="BM46" s="1" t="str">
        <f t="shared" si="38"/>
        <v>総合23</v>
      </c>
      <c r="BN46" s="1">
        <f t="shared" si="39"/>
        <v>6</v>
      </c>
      <c r="BO46" s="1" t="str">
        <f t="shared" si="40"/>
        <v>C26</v>
      </c>
      <c r="BP46" s="1" t="str">
        <f t="shared" si="41"/>
        <v>-</v>
      </c>
      <c r="BQ46" s="1" t="str">
        <f t="shared" si="42"/>
        <v>セパハン-</v>
      </c>
      <c r="BR46" s="1" t="str">
        <f t="shared" si="43"/>
        <v>-</v>
      </c>
      <c r="BS46" s="1" t="str">
        <f t="shared" si="44"/>
        <v>ミニ-</v>
      </c>
      <c r="BT46" s="1"/>
      <c r="BU46" s="1"/>
      <c r="BV46" s="1"/>
      <c r="BW46" s="1"/>
      <c r="BX46" s="1"/>
    </row>
    <row r="47">
      <c r="A47" s="1"/>
      <c r="B47" s="148" t="str">
        <f t="array" ref="B47">IFERROR(INDEX('DB(読み込みシート※編集厳禁)'!$A$3:$AH$501,MATCH($C47,'DB(読み込みシート※編集厳禁)'!$B$3:$B$501,0),MATCH(B$14,'DB(読み込みシート※編集厳禁)'!$A$2:$AH$2,0)),"")</f>
        <v>C2</v>
      </c>
      <c r="C47" s="149">
        <v>31.0</v>
      </c>
      <c r="D47" s="169" t="str">
        <f t="array" ref="D47">IFERROR(INDEX('DB(読み込みシート※編集厳禁)'!$A$3:$AH$501,MATCH($C47,'DB(読み込みシート※編集厳禁)'!$B$3:$B$501,0),MATCH(D$14,'DB(読み込みシート※編集厳禁)'!$A$2:$AH$2,0)),"")</f>
        <v>織田憲男</v>
      </c>
      <c r="E47" s="170" t="str">
        <f t="array" ref="E47">IFERROR(INDEX('DB(読み込みシート※編集厳禁)'!$A$3:$AH$501,MATCH($C47,'DB(読み込みシート※編集厳禁)'!$B$3:$B$501,0),MATCH(E$14,'DB(読み込みシート※編集厳禁)'!$A$2:$AH$2,0)),"")</f>
        <v>MT-03</v>
      </c>
      <c r="F47" s="171" t="str">
        <f t="array" ref="F47">IFERROR(INDEX('DB(読み込みシート※編集厳禁)'!$A$3:$AH$501,MATCH($C47,'DB(読み込みシート※編集厳禁)'!$B$3:$B$501,0),MATCH(F$14,'DB(読み込みシート※編集厳禁)'!$A$2:$AH$2,0)),"")</f>
        <v>黒</v>
      </c>
      <c r="G47" s="133" t="str">
        <f t="shared" si="8"/>
        <v>1:53:531</v>
      </c>
      <c r="H47" s="152" t="str">
        <f t="shared" si="9"/>
        <v>1:54:531</v>
      </c>
      <c r="I47" s="135">
        <v>153531.0</v>
      </c>
      <c r="J47" s="166">
        <v>1.0</v>
      </c>
      <c r="K47" s="137" t="s">
        <v>15</v>
      </c>
      <c r="L47" s="138" t="str">
        <f t="shared" si="10"/>
        <v>1</v>
      </c>
      <c r="M47" s="139" t="str">
        <f t="shared" si="11"/>
        <v>53</v>
      </c>
      <c r="N47" s="140" t="str">
        <f t="shared" si="12"/>
        <v>531</v>
      </c>
      <c r="O47" s="141" t="str">
        <f t="shared" si="13"/>
        <v>1:55:157</v>
      </c>
      <c r="P47" s="162" t="str">
        <f t="shared" si="14"/>
        <v>1:55:157</v>
      </c>
      <c r="Q47" s="148" t="str">
        <f t="array" ref="Q47">IFERROR(INDEX('DB(読み込みシート※編集厳禁)'!$A$3:$AH$501,MATCH($C47,'DB(読み込みシート※編集厳禁)'!$B$3:$B$501,0),MATCH(Q$14,'DB(読み込みシート※編集厳禁)'!$A$2:$AH$2,0)),"")</f>
        <v>C2</v>
      </c>
      <c r="R47" s="149">
        <v>31.0</v>
      </c>
      <c r="S47" s="169" t="str">
        <f t="array" ref="S47">IFERROR(INDEX('DB(読み込みシート※編集厳禁)'!$A$3:$AH$501,MATCH($C47,'DB(読み込みシート※編集厳禁)'!$B$3:$B$501,0),MATCH(S$14,'DB(読み込みシート※編集厳禁)'!$A$2:$AH$2,0)),"")</f>
        <v>織田憲男</v>
      </c>
      <c r="T47" s="170" t="str">
        <f t="array" ref="T47">IFERROR(INDEX('DB(読み込みシート※編集厳禁)'!$A$3:$AH$501,MATCH($C47,'DB(読み込みシート※編集厳禁)'!$B$3:$B$501,0),MATCH(T$14,'DB(読み込みシート※編集厳禁)'!$A$2:$AH$2,0)),"")</f>
        <v>MT-03</v>
      </c>
      <c r="U47" s="135">
        <v>155157.0</v>
      </c>
      <c r="V47" s="166"/>
      <c r="W47" s="137" t="s">
        <v>15</v>
      </c>
      <c r="X47" s="138" t="str">
        <f t="shared" si="15"/>
        <v>1</v>
      </c>
      <c r="Y47" s="139" t="str">
        <f t="shared" si="16"/>
        <v>55</v>
      </c>
      <c r="Z47" s="144" t="str">
        <f t="shared" si="17"/>
        <v>157</v>
      </c>
      <c r="AA47" s="1"/>
      <c r="AB47" s="6"/>
      <c r="AC47" s="6"/>
      <c r="AD47" s="6"/>
      <c r="AE47" s="6"/>
      <c r="AF47" s="6"/>
      <c r="AG47" s="6">
        <f t="shared" si="18"/>
        <v>130000</v>
      </c>
      <c r="AH47" s="6">
        <f t="shared" si="19"/>
        <v>132031</v>
      </c>
      <c r="AI47" s="6" t="str">
        <f t="shared" si="20"/>
        <v>C2-9</v>
      </c>
      <c r="AJ47" s="6"/>
      <c r="AK47" s="6" t="str">
        <f t="shared" si="21"/>
        <v/>
      </c>
      <c r="AL47" s="6"/>
      <c r="AM47" s="6"/>
      <c r="AN47" s="6"/>
      <c r="AO47" s="6"/>
      <c r="AP47" s="6"/>
      <c r="AQ47" s="7"/>
      <c r="AR47" s="69"/>
      <c r="AS47" s="69"/>
      <c r="AT47" s="39">
        <v>31.0</v>
      </c>
      <c r="AU47" s="69" t="str">
        <f t="array" ref="AU47">IFERROR(INDEX('DB(読み込みシート※編集厳禁)'!$A$3:$AH$501,MATCH($C47,'DB(読み込みシート※編集厳禁)'!$B$3:$B$501,0),MATCH(AU$16,'DB(読み込みシート※編集厳禁)'!$A$2:$AH$2,0)),"")</f>
        <v>いいえ</v>
      </c>
      <c r="AV47" s="69" t="str">
        <f t="array" ref="AV47">IFERROR(INDEX('DB(読み込みシート※編集厳禁)'!$A$3:$AH$501,MATCH($C47,'DB(読み込みシート※編集厳禁)'!$B$3:$B$501,0),MATCH(AV$16,'DB(読み込みシート※編集厳禁)'!$A$2:$AH$2,0)),"")</f>
        <v>いいえ</v>
      </c>
      <c r="AW47" s="69" t="str">
        <f t="shared" si="22"/>
        <v>1:53:531</v>
      </c>
      <c r="AX47" s="69" t="str">
        <f t="shared" si="23"/>
        <v>1:54:531</v>
      </c>
      <c r="AY47" s="69">
        <f t="shared" si="24"/>
        <v>1</v>
      </c>
      <c r="AZ47" s="69" t="str">
        <f t="shared" si="25"/>
        <v>1:55:157</v>
      </c>
      <c r="BA47" s="69" t="str">
        <f t="shared" si="26"/>
        <v>1:55:157</v>
      </c>
      <c r="BB47" s="69" t="str">
        <f t="shared" si="27"/>
        <v>-</v>
      </c>
      <c r="BC47" s="69" t="str">
        <f t="shared" si="28"/>
        <v>1:54:531</v>
      </c>
      <c r="BD47" s="70">
        <f t="shared" si="29"/>
        <v>1.173401225</v>
      </c>
      <c r="BE47" s="70">
        <f t="shared" si="30"/>
        <v>1.173401225</v>
      </c>
      <c r="BF47" s="147">
        <f t="shared" si="31"/>
        <v>114531</v>
      </c>
      <c r="BG47" s="147">
        <f t="shared" si="32"/>
        <v>115157</v>
      </c>
      <c r="BH47" s="1">
        <f t="shared" si="33"/>
        <v>114531</v>
      </c>
      <c r="BI47" s="1">
        <f t="shared" si="34"/>
        <v>11453131</v>
      </c>
      <c r="BJ47" s="1">
        <f t="shared" si="35"/>
        <v>400011453131</v>
      </c>
      <c r="BK47" s="1">
        <f t="shared" si="36"/>
        <v>114531</v>
      </c>
      <c r="BL47" s="1">
        <f t="shared" si="37"/>
        <v>30</v>
      </c>
      <c r="BM47" s="1" t="str">
        <f t="shared" si="38"/>
        <v>総合26</v>
      </c>
      <c r="BN47" s="1">
        <f t="shared" si="39"/>
        <v>9</v>
      </c>
      <c r="BO47" s="1" t="str">
        <f t="shared" si="40"/>
        <v>C29</v>
      </c>
      <c r="BP47" s="1" t="str">
        <f t="shared" si="41"/>
        <v>-</v>
      </c>
      <c r="BQ47" s="1" t="str">
        <f t="shared" si="42"/>
        <v>セパハン-</v>
      </c>
      <c r="BR47" s="1" t="str">
        <f t="shared" si="43"/>
        <v>-</v>
      </c>
      <c r="BS47" s="1" t="str">
        <f t="shared" si="44"/>
        <v>ミニ-</v>
      </c>
      <c r="BT47" s="1"/>
      <c r="BU47" s="1"/>
      <c r="BV47" s="1"/>
      <c r="BW47" s="1"/>
      <c r="BX47" s="1"/>
    </row>
    <row r="48">
      <c r="A48" s="1"/>
      <c r="B48" s="148" t="str">
        <f t="array" ref="B48">IFERROR(INDEX('DB(読み込みシート※編集厳禁)'!$A$3:$AH$501,MATCH($C48,'DB(読み込みシート※編集厳禁)'!$B$3:$B$501,0),MATCH(B$14,'DB(読み込みシート※編集厳禁)'!$A$2:$AH$2,0)),"")</f>
        <v>C2</v>
      </c>
      <c r="C48" s="149">
        <v>32.0</v>
      </c>
      <c r="D48" s="169" t="str">
        <f t="array" ref="D48">IFERROR(INDEX('DB(読み込みシート※編集厳禁)'!$A$3:$AH$501,MATCH($C48,'DB(読み込みシート※編集厳禁)'!$B$3:$B$501,0),MATCH(D$14,'DB(読み込みシート※編集厳禁)'!$A$2:$AH$2,0)),"")</f>
        <v>ひろ</v>
      </c>
      <c r="E48" s="170" t="str">
        <f t="array" ref="E48">IFERROR(INDEX('DB(読み込みシート※編集厳禁)'!$A$3:$AH$501,MATCH($C48,'DB(読み込みシート※編集厳禁)'!$B$3:$B$501,0),MATCH(E$14,'DB(読み込みシート※編集厳禁)'!$A$2:$AH$2,0)),"")</f>
        <v>NSR250R</v>
      </c>
      <c r="F48" s="171" t="str">
        <f t="array" ref="F48">IFERROR(INDEX('DB(読み込みシート※編集厳禁)'!$A$3:$AH$501,MATCH($C48,'DB(読み込みシート※編集厳禁)'!$B$3:$B$501,0),MATCH(F$14,'DB(読み込みシート※編集厳禁)'!$A$2:$AH$2,0)),"")</f>
        <v>黒/赤</v>
      </c>
      <c r="G48" s="133" t="str">
        <f t="shared" si="8"/>
        <v>1:52:265</v>
      </c>
      <c r="H48" s="152" t="str">
        <f t="shared" si="9"/>
        <v>1:52:265</v>
      </c>
      <c r="I48" s="135">
        <v>152265.0</v>
      </c>
      <c r="J48" s="166"/>
      <c r="K48" s="137" t="s">
        <v>15</v>
      </c>
      <c r="L48" s="138" t="str">
        <f t="shared" si="10"/>
        <v>1</v>
      </c>
      <c r="M48" s="139" t="str">
        <f t="shared" si="11"/>
        <v>52</v>
      </c>
      <c r="N48" s="140" t="str">
        <f t="shared" si="12"/>
        <v>265</v>
      </c>
      <c r="O48" s="141" t="str">
        <f t="shared" si="13"/>
        <v>1:49:637</v>
      </c>
      <c r="P48" s="162" t="str">
        <f t="shared" si="14"/>
        <v>1:49:637</v>
      </c>
      <c r="Q48" s="148" t="str">
        <f t="array" ref="Q48">IFERROR(INDEX('DB(読み込みシート※編集厳禁)'!$A$3:$AH$501,MATCH($C48,'DB(読み込みシート※編集厳禁)'!$B$3:$B$501,0),MATCH(Q$14,'DB(読み込みシート※編集厳禁)'!$A$2:$AH$2,0)),"")</f>
        <v>C2</v>
      </c>
      <c r="R48" s="149">
        <v>32.0</v>
      </c>
      <c r="S48" s="169" t="str">
        <f t="array" ref="S48">IFERROR(INDEX('DB(読み込みシート※編集厳禁)'!$A$3:$AH$501,MATCH($C48,'DB(読み込みシート※編集厳禁)'!$B$3:$B$501,0),MATCH(S$14,'DB(読み込みシート※編集厳禁)'!$A$2:$AH$2,0)),"")</f>
        <v>ひろ</v>
      </c>
      <c r="T48" s="170" t="str">
        <f t="array" ref="T48">IFERROR(INDEX('DB(読み込みシート※編集厳禁)'!$A$3:$AH$501,MATCH($C48,'DB(読み込みシート※編集厳禁)'!$B$3:$B$501,0),MATCH(T$14,'DB(読み込みシート※編集厳禁)'!$A$2:$AH$2,0)),"")</f>
        <v>NSR250R</v>
      </c>
      <c r="U48" s="135">
        <v>149637.0</v>
      </c>
      <c r="V48" s="166"/>
      <c r="W48" s="137" t="s">
        <v>15</v>
      </c>
      <c r="X48" s="138" t="str">
        <f t="shared" si="15"/>
        <v>1</v>
      </c>
      <c r="Y48" s="139" t="str">
        <f t="shared" si="16"/>
        <v>49</v>
      </c>
      <c r="Z48" s="144" t="str">
        <f t="shared" si="17"/>
        <v>637</v>
      </c>
      <c r="AA48" s="1"/>
      <c r="AB48" s="6"/>
      <c r="AC48" s="6"/>
      <c r="AD48" s="6"/>
      <c r="AE48" s="6"/>
      <c r="AF48" s="6"/>
      <c r="AG48" s="6">
        <f t="shared" si="18"/>
        <v>130000</v>
      </c>
      <c r="AH48" s="6">
        <f t="shared" si="19"/>
        <v>132032</v>
      </c>
      <c r="AI48" s="6" t="str">
        <f t="shared" si="20"/>
        <v>C2-4</v>
      </c>
      <c r="AJ48" s="6"/>
      <c r="AK48" s="6" t="str">
        <f t="shared" si="21"/>
        <v/>
      </c>
      <c r="AL48" s="6"/>
      <c r="AM48" s="6"/>
      <c r="AN48" s="6"/>
      <c r="AO48" s="6"/>
      <c r="AP48" s="6"/>
      <c r="AQ48" s="7"/>
      <c r="AR48" s="69"/>
      <c r="AS48" s="69"/>
      <c r="AT48" s="39">
        <v>32.0</v>
      </c>
      <c r="AU48" s="69" t="str">
        <f t="array" ref="AU48">IFERROR(INDEX('DB(読み込みシート※編集厳禁)'!$A$3:$AH$501,MATCH($C48,'DB(読み込みシート※編集厳禁)'!$B$3:$B$501,0),MATCH(AU$16,'DB(読み込みシート※編集厳禁)'!$A$2:$AH$2,0)),"")</f>
        <v>いいえ</v>
      </c>
      <c r="AV48" s="69" t="str">
        <f t="array" ref="AV48">IFERROR(INDEX('DB(読み込みシート※編集厳禁)'!$A$3:$AH$501,MATCH($C48,'DB(読み込みシート※編集厳禁)'!$B$3:$B$501,0),MATCH(AV$16,'DB(読み込みシート※編集厳禁)'!$A$2:$AH$2,0)),"")</f>
        <v>いいえ</v>
      </c>
      <c r="AW48" s="69" t="str">
        <f t="shared" si="22"/>
        <v>1:52:265</v>
      </c>
      <c r="AX48" s="69" t="str">
        <f t="shared" si="23"/>
        <v>1:52:265</v>
      </c>
      <c r="AY48" s="69" t="str">
        <f t="shared" si="24"/>
        <v>-</v>
      </c>
      <c r="AZ48" s="69" t="str">
        <f t="shared" si="25"/>
        <v>1:49:637</v>
      </c>
      <c r="BA48" s="69" t="str">
        <f t="shared" si="26"/>
        <v>1:49:637</v>
      </c>
      <c r="BB48" s="69" t="str">
        <f t="shared" si="27"/>
        <v>-</v>
      </c>
      <c r="BC48" s="69" t="str">
        <f t="shared" si="28"/>
        <v>1:49:637</v>
      </c>
      <c r="BD48" s="70">
        <f t="shared" si="29"/>
        <v>1.123260865</v>
      </c>
      <c r="BE48" s="70">
        <f t="shared" si="30"/>
        <v>1.123260865</v>
      </c>
      <c r="BF48" s="147">
        <f t="shared" si="31"/>
        <v>112265</v>
      </c>
      <c r="BG48" s="147">
        <f t="shared" si="32"/>
        <v>109637</v>
      </c>
      <c r="BH48" s="1">
        <f t="shared" si="33"/>
        <v>109637</v>
      </c>
      <c r="BI48" s="1">
        <f t="shared" si="34"/>
        <v>10963732</v>
      </c>
      <c r="BJ48" s="1">
        <f t="shared" si="35"/>
        <v>400010963732</v>
      </c>
      <c r="BK48" s="1">
        <f t="shared" si="36"/>
        <v>109637</v>
      </c>
      <c r="BL48" s="1">
        <f t="shared" si="37"/>
        <v>17</v>
      </c>
      <c r="BM48" s="1" t="str">
        <f t="shared" si="38"/>
        <v>総合21</v>
      </c>
      <c r="BN48" s="1">
        <f t="shared" si="39"/>
        <v>4</v>
      </c>
      <c r="BO48" s="1" t="str">
        <f t="shared" si="40"/>
        <v>C24</v>
      </c>
      <c r="BP48" s="1" t="str">
        <f t="shared" si="41"/>
        <v>-</v>
      </c>
      <c r="BQ48" s="1" t="str">
        <f t="shared" si="42"/>
        <v>セパハン-</v>
      </c>
      <c r="BR48" s="1" t="str">
        <f t="shared" si="43"/>
        <v>-</v>
      </c>
      <c r="BS48" s="1" t="str">
        <f t="shared" si="44"/>
        <v>ミニ-</v>
      </c>
      <c r="BT48" s="1"/>
      <c r="BU48" s="1"/>
      <c r="BV48" s="1"/>
      <c r="BW48" s="1"/>
      <c r="BX48" s="1"/>
    </row>
    <row r="49">
      <c r="A49" s="1"/>
      <c r="B49" s="148" t="str">
        <f t="array" ref="B49">IFERROR(INDEX('DB(読み込みシート※編集厳禁)'!$A$3:$AH$501,MATCH($C49,'DB(読み込みシート※編集厳禁)'!$B$3:$B$501,0),MATCH(B$14,'DB(読み込みシート※編集厳禁)'!$A$2:$AH$2,0)),"")</f>
        <v>C2</v>
      </c>
      <c r="C49" s="149">
        <v>33.0</v>
      </c>
      <c r="D49" s="169" t="str">
        <f t="array" ref="D49">IFERROR(INDEX('DB(読み込みシート※編集厳禁)'!$A$3:$AH$501,MATCH($C49,'DB(読み込みシート※編集厳禁)'!$B$3:$B$501,0),MATCH(D$14,'DB(読み込みシート※編集厳禁)'!$A$2:$AH$2,0)),"")</f>
        <v>浅野智博</v>
      </c>
      <c r="E49" s="170" t="str">
        <f t="array" ref="E49">IFERROR(INDEX('DB(読み込みシート※編集厳禁)'!$A$3:$AH$501,MATCH($C49,'DB(読み込みシート※編集厳禁)'!$B$3:$B$501,0),MATCH(E$14,'DB(読み込みシート※編集厳禁)'!$A$2:$AH$2,0)),"")</f>
        <v>YZ250FX</v>
      </c>
      <c r="F49" s="171" t="str">
        <f t="array" ref="F49">IFERROR(INDEX('DB(読み込みシート※編集厳禁)'!$A$3:$AH$501,MATCH($C49,'DB(読み込みシート※編集厳禁)'!$B$3:$B$501,0),MATCH(F$14,'DB(読み込みシート※編集厳禁)'!$A$2:$AH$2,0)),"")</f>
        <v>白</v>
      </c>
      <c r="G49" s="133" t="str">
        <f t="shared" si="8"/>
        <v>9:99:999</v>
      </c>
      <c r="H49" s="152" t="str">
        <f t="shared" si="9"/>
        <v>9:99:999</v>
      </c>
      <c r="I49" s="135">
        <v>152849.0</v>
      </c>
      <c r="J49" s="166"/>
      <c r="K49" s="137" t="s">
        <v>9</v>
      </c>
      <c r="L49" s="138" t="str">
        <f t="shared" si="10"/>
        <v>1</v>
      </c>
      <c r="M49" s="139" t="str">
        <f t="shared" si="11"/>
        <v>52</v>
      </c>
      <c r="N49" s="140" t="str">
        <f t="shared" si="12"/>
        <v>849</v>
      </c>
      <c r="O49" s="141" t="str">
        <f t="shared" si="13"/>
        <v>1:47:833</v>
      </c>
      <c r="P49" s="162" t="str">
        <f t="shared" si="14"/>
        <v>1:47:833</v>
      </c>
      <c r="Q49" s="148" t="str">
        <f t="array" ref="Q49">IFERROR(INDEX('DB(読み込みシート※編集厳禁)'!$A$3:$AH$501,MATCH($C49,'DB(読み込みシート※編集厳禁)'!$B$3:$B$501,0),MATCH(Q$14,'DB(読み込みシート※編集厳禁)'!$A$2:$AH$2,0)),"")</f>
        <v>C2</v>
      </c>
      <c r="R49" s="149">
        <v>33.0</v>
      </c>
      <c r="S49" s="169" t="str">
        <f t="array" ref="S49">IFERROR(INDEX('DB(読み込みシート※編集厳禁)'!$A$3:$AH$501,MATCH($C49,'DB(読み込みシート※編集厳禁)'!$B$3:$B$501,0),MATCH(S$14,'DB(読み込みシート※編集厳禁)'!$A$2:$AH$2,0)),"")</f>
        <v>浅野智博</v>
      </c>
      <c r="T49" s="170" t="str">
        <f t="array" ref="T49">IFERROR(INDEX('DB(読み込みシート※編集厳禁)'!$A$3:$AH$501,MATCH($C49,'DB(読み込みシート※編集厳禁)'!$B$3:$B$501,0),MATCH(T$14,'DB(読み込みシート※編集厳禁)'!$A$2:$AH$2,0)),"")</f>
        <v>YZ250FX</v>
      </c>
      <c r="U49" s="135">
        <v>147833.0</v>
      </c>
      <c r="V49" s="166"/>
      <c r="W49" s="137" t="s">
        <v>15</v>
      </c>
      <c r="X49" s="138" t="str">
        <f t="shared" si="15"/>
        <v>1</v>
      </c>
      <c r="Y49" s="139" t="str">
        <f t="shared" si="16"/>
        <v>47</v>
      </c>
      <c r="Z49" s="144" t="str">
        <f t="shared" si="17"/>
        <v>833</v>
      </c>
      <c r="AA49" s="1"/>
      <c r="AB49" s="6"/>
      <c r="AC49" s="6"/>
      <c r="AD49" s="6"/>
      <c r="AE49" s="6"/>
      <c r="AF49" s="6"/>
      <c r="AG49" s="6">
        <f t="shared" si="18"/>
        <v>130000</v>
      </c>
      <c r="AH49" s="6">
        <f t="shared" si="19"/>
        <v>132033</v>
      </c>
      <c r="AI49" s="6" t="str">
        <f t="shared" si="20"/>
        <v>C2-3</v>
      </c>
      <c r="AJ49" s="6"/>
      <c r="AK49" s="6" t="str">
        <f t="shared" si="21"/>
        <v/>
      </c>
      <c r="AL49" s="6"/>
      <c r="AM49" s="6"/>
      <c r="AN49" s="6"/>
      <c r="AO49" s="6"/>
      <c r="AP49" s="6"/>
      <c r="AQ49" s="7"/>
      <c r="AR49" s="69"/>
      <c r="AS49" s="69"/>
      <c r="AT49" s="39">
        <v>33.0</v>
      </c>
      <c r="AU49" s="69" t="str">
        <f t="array" ref="AU49">IFERROR(INDEX('DB(読み込みシート※編集厳禁)'!$A$3:$AH$501,MATCH($C49,'DB(読み込みシート※編集厳禁)'!$B$3:$B$501,0),MATCH(AU$16,'DB(読み込みシート※編集厳禁)'!$A$2:$AH$2,0)),"")</f>
        <v>いいえ</v>
      </c>
      <c r="AV49" s="69" t="str">
        <f t="array" ref="AV49">IFERROR(INDEX('DB(読み込みシート※編集厳禁)'!$A$3:$AH$501,MATCH($C49,'DB(読み込みシート※編集厳禁)'!$B$3:$B$501,0),MATCH(AV$16,'DB(読み込みシート※編集厳禁)'!$A$2:$AH$2,0)),"")</f>
        <v>いいえ</v>
      </c>
      <c r="AW49" s="69" t="str">
        <f t="shared" si="22"/>
        <v>9:99:999</v>
      </c>
      <c r="AX49" s="69" t="str">
        <f t="shared" si="23"/>
        <v>9:99:999</v>
      </c>
      <c r="AY49" s="69" t="str">
        <f t="shared" si="24"/>
        <v>MC</v>
      </c>
      <c r="AZ49" s="69" t="str">
        <f t="shared" si="25"/>
        <v>1:47:833</v>
      </c>
      <c r="BA49" s="69" t="str">
        <f t="shared" si="26"/>
        <v>1:47:833</v>
      </c>
      <c r="BB49" s="69" t="str">
        <f t="shared" si="27"/>
        <v>-</v>
      </c>
      <c r="BC49" s="69" t="str">
        <f t="shared" si="28"/>
        <v>1:47:833</v>
      </c>
      <c r="BD49" s="70">
        <f t="shared" si="29"/>
        <v>1.104778395</v>
      </c>
      <c r="BE49" s="70">
        <f t="shared" si="30"/>
        <v>1.104778395</v>
      </c>
      <c r="BF49" s="1">
        <f t="shared" si="31"/>
        <v>999999</v>
      </c>
      <c r="BG49" s="147">
        <f t="shared" si="32"/>
        <v>107833</v>
      </c>
      <c r="BH49" s="1">
        <f t="shared" si="33"/>
        <v>107833</v>
      </c>
      <c r="BI49" s="1">
        <f t="shared" si="34"/>
        <v>10783333</v>
      </c>
      <c r="BJ49" s="1">
        <f t="shared" si="35"/>
        <v>400010783333</v>
      </c>
      <c r="BK49" s="1">
        <f t="shared" si="36"/>
        <v>107833</v>
      </c>
      <c r="BL49" s="1">
        <f t="shared" si="37"/>
        <v>14</v>
      </c>
      <c r="BM49" s="1" t="str">
        <f t="shared" si="38"/>
        <v>総合20</v>
      </c>
      <c r="BN49" s="1">
        <f t="shared" si="39"/>
        <v>3</v>
      </c>
      <c r="BO49" s="1" t="str">
        <f t="shared" si="40"/>
        <v>C23</v>
      </c>
      <c r="BP49" s="1" t="str">
        <f t="shared" si="41"/>
        <v>-</v>
      </c>
      <c r="BQ49" s="1" t="str">
        <f t="shared" si="42"/>
        <v>セパハン-</v>
      </c>
      <c r="BR49" s="1" t="str">
        <f t="shared" si="43"/>
        <v>-</v>
      </c>
      <c r="BS49" s="1" t="str">
        <f t="shared" si="44"/>
        <v>ミニ-</v>
      </c>
      <c r="BT49" s="1"/>
      <c r="BU49" s="1"/>
      <c r="BV49" s="1"/>
      <c r="BW49" s="1"/>
      <c r="BX49" s="1"/>
    </row>
    <row r="50">
      <c r="A50" s="1"/>
      <c r="B50" s="148" t="str">
        <f t="array" ref="B50">IFERROR(INDEX('DB(読み込みシート※編集厳禁)'!$A$3:$AH$501,MATCH($C50,'DB(読み込みシート※編集厳禁)'!$B$3:$B$501,0),MATCH(B$14,'DB(読み込みシート※編集厳禁)'!$A$2:$AH$2,0)),"")</f>
        <v>C2</v>
      </c>
      <c r="C50" s="149">
        <v>34.0</v>
      </c>
      <c r="D50" s="169" t="str">
        <f t="array" ref="D50">IFERROR(INDEX('DB(読み込みシート※編集厳禁)'!$A$3:$AH$501,MATCH($C50,'DB(読み込みシート※編集厳禁)'!$B$3:$B$501,0),MATCH(D$14,'DB(読み込みシート※編集厳禁)'!$A$2:$AH$2,0)),"")</f>
        <v>もーと</v>
      </c>
      <c r="E50" s="170" t="str">
        <f t="array" ref="E50">IFERROR(INDEX('DB(読み込みシート※編集厳禁)'!$A$3:$AH$501,MATCH($C50,'DB(読み込みシート※編集厳禁)'!$B$3:$B$501,0),MATCH(E$14,'DB(読み込みシート※編集厳禁)'!$A$2:$AH$2,0)),"")</f>
        <v>KX85</v>
      </c>
      <c r="F50" s="171" t="str">
        <f t="array" ref="F50">IFERROR(INDEX('DB(読み込みシート※編集厳禁)'!$A$3:$AH$501,MATCH($C50,'DB(読み込みシート※編集厳禁)'!$B$3:$B$501,0),MATCH(F$14,'DB(読み込みシート※編集厳禁)'!$A$2:$AH$2,0)),"")</f>
        <v>黒/黄</v>
      </c>
      <c r="G50" s="133" t="str">
        <f t="shared" si="8"/>
        <v>DNS</v>
      </c>
      <c r="H50" s="152" t="str">
        <f t="shared" si="9"/>
        <v>:00:000</v>
      </c>
      <c r="I50" s="135"/>
      <c r="J50" s="166"/>
      <c r="K50" s="137" t="s">
        <v>15</v>
      </c>
      <c r="L50" s="138" t="str">
        <f t="shared" si="10"/>
        <v/>
      </c>
      <c r="M50" s="139" t="str">
        <f t="shared" si="11"/>
        <v/>
      </c>
      <c r="N50" s="140" t="str">
        <f t="shared" si="12"/>
        <v/>
      </c>
      <c r="O50" s="141" t="str">
        <f t="shared" si="13"/>
        <v>DNS</v>
      </c>
      <c r="P50" s="162" t="str">
        <f t="shared" si="14"/>
        <v>:00:000</v>
      </c>
      <c r="Q50" s="148" t="str">
        <f t="array" ref="Q50">IFERROR(INDEX('DB(読み込みシート※編集厳禁)'!$A$3:$AH$501,MATCH($C50,'DB(読み込みシート※編集厳禁)'!$B$3:$B$501,0),MATCH(Q$14,'DB(読み込みシート※編集厳禁)'!$A$2:$AH$2,0)),"")</f>
        <v>C2</v>
      </c>
      <c r="R50" s="149">
        <v>34.0</v>
      </c>
      <c r="S50" s="169" t="str">
        <f t="array" ref="S50">IFERROR(INDEX('DB(読み込みシート※編集厳禁)'!$A$3:$AH$501,MATCH($C50,'DB(読み込みシート※編集厳禁)'!$B$3:$B$501,0),MATCH(S$14,'DB(読み込みシート※編集厳禁)'!$A$2:$AH$2,0)),"")</f>
        <v>もーと</v>
      </c>
      <c r="T50" s="170" t="str">
        <f t="array" ref="T50">IFERROR(INDEX('DB(読み込みシート※編集厳禁)'!$A$3:$AH$501,MATCH($C50,'DB(読み込みシート※編集厳禁)'!$B$3:$B$501,0),MATCH(T$14,'DB(読み込みシート※編集厳禁)'!$A$2:$AH$2,0)),"")</f>
        <v>KX85</v>
      </c>
      <c r="U50" s="135"/>
      <c r="V50" s="166"/>
      <c r="W50" s="137" t="s">
        <v>15</v>
      </c>
      <c r="X50" s="138" t="str">
        <f t="shared" si="15"/>
        <v/>
      </c>
      <c r="Y50" s="139" t="str">
        <f t="shared" si="16"/>
        <v/>
      </c>
      <c r="Z50" s="144" t="str">
        <f t="shared" si="17"/>
        <v/>
      </c>
      <c r="AA50" s="1"/>
      <c r="AB50" s="6"/>
      <c r="AC50" s="6"/>
      <c r="AD50" s="6"/>
      <c r="AE50" s="6"/>
      <c r="AF50" s="6"/>
      <c r="AG50" s="6" t="str">
        <f t="shared" si="18"/>
        <v/>
      </c>
      <c r="AH50" s="6" t="str">
        <f t="shared" si="19"/>
        <v/>
      </c>
      <c r="AI50" s="6" t="str">
        <f t="shared" si="20"/>
        <v>C2--</v>
      </c>
      <c r="AJ50" s="6"/>
      <c r="AK50" s="6" t="str">
        <f t="shared" si="21"/>
        <v/>
      </c>
      <c r="AL50" s="6"/>
      <c r="AM50" s="6"/>
      <c r="AN50" s="6"/>
      <c r="AO50" s="6"/>
      <c r="AP50" s="6"/>
      <c r="AQ50" s="7"/>
      <c r="AR50" s="69"/>
      <c r="AS50" s="69"/>
      <c r="AT50" s="39">
        <v>34.0</v>
      </c>
      <c r="AU50" s="69" t="str">
        <f t="array" ref="AU50">IFERROR(INDEX('DB(読み込みシート※編集厳禁)'!$A$3:$AH$501,MATCH($C50,'DB(読み込みシート※編集厳禁)'!$B$3:$B$501,0),MATCH(AU$16,'DB(読み込みシート※編集厳禁)'!$A$2:$AH$2,0)),"")</f>
        <v>いいえ</v>
      </c>
      <c r="AV50" s="69" t="str">
        <f t="array" ref="AV50">IFERROR(INDEX('DB(読み込みシート※編集厳禁)'!$A$3:$AH$501,MATCH($C50,'DB(読み込みシート※編集厳禁)'!$B$3:$B$501,0),MATCH(AV$16,'DB(読み込みシート※編集厳禁)'!$A$2:$AH$2,0)),"")</f>
        <v>いいえ</v>
      </c>
      <c r="AW50" s="69" t="str">
        <f t="shared" si="22"/>
        <v>DNS</v>
      </c>
      <c r="AX50" s="69" t="str">
        <f t="shared" si="23"/>
        <v>DNS</v>
      </c>
      <c r="AY50" s="69" t="str">
        <f t="shared" si="24"/>
        <v>-</v>
      </c>
      <c r="AZ50" s="69" t="str">
        <f t="shared" si="25"/>
        <v>DNS</v>
      </c>
      <c r="BA50" s="69" t="str">
        <f t="shared" si="26"/>
        <v>DNS</v>
      </c>
      <c r="BB50" s="69" t="str">
        <f t="shared" si="27"/>
        <v>-</v>
      </c>
      <c r="BC50" s="69" t="str">
        <f t="shared" si="28"/>
        <v>DNS</v>
      </c>
      <c r="BD50" s="70" t="str">
        <f t="shared" si="29"/>
        <v>-</v>
      </c>
      <c r="BE50" s="70" t="str">
        <f t="shared" si="30"/>
        <v>-</v>
      </c>
      <c r="BF50" s="1">
        <f t="shared" si="31"/>
        <v>999999</v>
      </c>
      <c r="BG50" s="1">
        <f t="shared" si="32"/>
        <v>999999</v>
      </c>
      <c r="BH50" s="1">
        <f t="shared" si="33"/>
        <v>999999</v>
      </c>
      <c r="BI50" s="1">
        <f t="shared" si="34"/>
        <v>10000000034</v>
      </c>
      <c r="BJ50" s="1">
        <f t="shared" si="35"/>
        <v>410000000034</v>
      </c>
      <c r="BK50" s="1">
        <f t="shared" si="36"/>
        <v>100000000</v>
      </c>
      <c r="BL50" s="1" t="str">
        <f t="shared" si="37"/>
        <v>-</v>
      </c>
      <c r="BM50" s="1" t="str">
        <f t="shared" si="38"/>
        <v>総合27</v>
      </c>
      <c r="BN50" s="1" t="str">
        <f t="shared" si="39"/>
        <v>-</v>
      </c>
      <c r="BO50" s="1" t="str">
        <f t="shared" si="40"/>
        <v>C210</v>
      </c>
      <c r="BP50" s="1" t="str">
        <f t="shared" si="41"/>
        <v>-</v>
      </c>
      <c r="BQ50" s="1" t="str">
        <f t="shared" si="42"/>
        <v>セパハン-</v>
      </c>
      <c r="BR50" s="1" t="str">
        <f t="shared" si="43"/>
        <v>-</v>
      </c>
      <c r="BS50" s="1" t="str">
        <f t="shared" si="44"/>
        <v>ミニ-</v>
      </c>
      <c r="BT50" s="1"/>
      <c r="BU50" s="1"/>
      <c r="BV50" s="1"/>
      <c r="BW50" s="1"/>
      <c r="BX50" s="1"/>
    </row>
    <row r="51">
      <c r="A51" s="1"/>
      <c r="B51" s="148" t="str">
        <f t="array" ref="B51">IFERROR(INDEX('DB(読み込みシート※編集厳禁)'!$A$3:$AH$501,MATCH($C51,'DB(読み込みシート※編集厳禁)'!$B$3:$B$501,0),MATCH(B$14,'DB(読み込みシート※編集厳禁)'!$A$2:$AH$2,0)),"")</f>
        <v>C2</v>
      </c>
      <c r="C51" s="149">
        <v>35.0</v>
      </c>
      <c r="D51" s="169" t="str">
        <f t="array" ref="D51">IFERROR(INDEX('DB(読み込みシート※編集厳禁)'!$A$3:$AH$501,MATCH($C51,'DB(読み込みシート※編集厳禁)'!$B$3:$B$501,0),MATCH(D$14,'DB(読み込みシート※編集厳禁)'!$A$2:$AH$2,0)),"")</f>
        <v>モル</v>
      </c>
      <c r="E51" s="170" t="str">
        <f t="array" ref="E51">IFERROR(INDEX('DB(読み込みシート※編集厳禁)'!$A$3:$AH$501,MATCH($C51,'DB(読み込みシート※編集厳禁)'!$B$3:$B$501,0),MATCH(E$14,'DB(読み込みシート※編集厳禁)'!$A$2:$AH$2,0)),"")</f>
        <v>YZF-R25</v>
      </c>
      <c r="F51" s="171" t="str">
        <f t="array" ref="F51">IFERROR(INDEX('DB(読み込みシート※編集厳禁)'!$A$3:$AH$501,MATCH($C51,'DB(読み込みシート※編集厳禁)'!$B$3:$B$501,0),MATCH(F$14,'DB(読み込みシート※編集厳禁)'!$A$2:$AH$2,0)),"")</f>
        <v>青/白/黒</v>
      </c>
      <c r="G51" s="133" t="str">
        <f t="shared" si="8"/>
        <v>1:50:068</v>
      </c>
      <c r="H51" s="152" t="str">
        <f t="shared" si="9"/>
        <v>1:52:068</v>
      </c>
      <c r="I51" s="135">
        <v>150068.0</v>
      </c>
      <c r="J51" s="166">
        <v>2.0</v>
      </c>
      <c r="K51" s="137" t="s">
        <v>15</v>
      </c>
      <c r="L51" s="138" t="str">
        <f t="shared" si="10"/>
        <v>1</v>
      </c>
      <c r="M51" s="139" t="str">
        <f t="shared" si="11"/>
        <v>50</v>
      </c>
      <c r="N51" s="140" t="str">
        <f t="shared" si="12"/>
        <v>068</v>
      </c>
      <c r="O51" s="141" t="str">
        <f t="shared" si="13"/>
        <v>1:49:678</v>
      </c>
      <c r="P51" s="162" t="str">
        <f t="shared" si="14"/>
        <v>1:49:678</v>
      </c>
      <c r="Q51" s="148" t="str">
        <f t="array" ref="Q51">IFERROR(INDEX('DB(読み込みシート※編集厳禁)'!$A$3:$AH$501,MATCH($C51,'DB(読み込みシート※編集厳禁)'!$B$3:$B$501,0),MATCH(Q$14,'DB(読み込みシート※編集厳禁)'!$A$2:$AH$2,0)),"")</f>
        <v>C2</v>
      </c>
      <c r="R51" s="149">
        <v>35.0</v>
      </c>
      <c r="S51" s="169" t="str">
        <f t="array" ref="S51">IFERROR(INDEX('DB(読み込みシート※編集厳禁)'!$A$3:$AH$501,MATCH($C51,'DB(読み込みシート※編集厳禁)'!$B$3:$B$501,0),MATCH(S$14,'DB(読み込みシート※編集厳禁)'!$A$2:$AH$2,0)),"")</f>
        <v>モル</v>
      </c>
      <c r="T51" s="170" t="str">
        <f t="array" ref="T51">IFERROR(INDEX('DB(読み込みシート※編集厳禁)'!$A$3:$AH$501,MATCH($C51,'DB(読み込みシート※編集厳禁)'!$B$3:$B$501,0),MATCH(T$14,'DB(読み込みシート※編集厳禁)'!$A$2:$AH$2,0)),"")</f>
        <v>YZF-R25</v>
      </c>
      <c r="U51" s="135">
        <v>149678.0</v>
      </c>
      <c r="V51" s="166"/>
      <c r="W51" s="137" t="s">
        <v>15</v>
      </c>
      <c r="X51" s="138" t="str">
        <f t="shared" si="15"/>
        <v>1</v>
      </c>
      <c r="Y51" s="139" t="str">
        <f t="shared" si="16"/>
        <v>49</v>
      </c>
      <c r="Z51" s="144" t="str">
        <f t="shared" si="17"/>
        <v>678</v>
      </c>
      <c r="AA51" s="1"/>
      <c r="AB51" s="6"/>
      <c r="AC51" s="6"/>
      <c r="AD51" s="6"/>
      <c r="AE51" s="6"/>
      <c r="AF51" s="6"/>
      <c r="AG51" s="6">
        <f t="shared" si="18"/>
        <v>130000</v>
      </c>
      <c r="AH51" s="6">
        <f t="shared" si="19"/>
        <v>132035</v>
      </c>
      <c r="AI51" s="6" t="str">
        <f t="shared" si="20"/>
        <v>C2-5</v>
      </c>
      <c r="AJ51" s="6"/>
      <c r="AK51" s="6" t="str">
        <f t="shared" si="21"/>
        <v/>
      </c>
      <c r="AL51" s="6"/>
      <c r="AM51" s="6"/>
      <c r="AN51" s="6"/>
      <c r="AO51" s="6"/>
      <c r="AP51" s="6"/>
      <c r="AQ51" s="7"/>
      <c r="AR51" s="69"/>
      <c r="AS51" s="69"/>
      <c r="AT51" s="39">
        <v>35.0</v>
      </c>
      <c r="AU51" s="69" t="str">
        <f t="array" ref="AU51">IFERROR(INDEX('DB(読み込みシート※編集厳禁)'!$A$3:$AH$501,MATCH($C51,'DB(読み込みシート※編集厳禁)'!$B$3:$B$501,0),MATCH(AU$16,'DB(読み込みシート※編集厳禁)'!$A$2:$AH$2,0)),"")</f>
        <v>はい</v>
      </c>
      <c r="AV51" s="69" t="str">
        <f t="array" ref="AV51">IFERROR(INDEX('DB(読み込みシート※編集厳禁)'!$A$3:$AH$501,MATCH($C51,'DB(読み込みシート※編集厳禁)'!$B$3:$B$501,0),MATCH(AV$16,'DB(読み込みシート※編集厳禁)'!$A$2:$AH$2,0)),"")</f>
        <v>いいえ</v>
      </c>
      <c r="AW51" s="69" t="str">
        <f t="shared" si="22"/>
        <v>1:50:068</v>
      </c>
      <c r="AX51" s="69" t="str">
        <f t="shared" si="23"/>
        <v>1:52:068</v>
      </c>
      <c r="AY51" s="69">
        <f t="shared" si="24"/>
        <v>2</v>
      </c>
      <c r="AZ51" s="69" t="str">
        <f t="shared" si="25"/>
        <v>1:49:678</v>
      </c>
      <c r="BA51" s="69" t="str">
        <f t="shared" si="26"/>
        <v>1:49:678</v>
      </c>
      <c r="BB51" s="69" t="str">
        <f t="shared" si="27"/>
        <v>-</v>
      </c>
      <c r="BC51" s="69" t="str">
        <f t="shared" si="28"/>
        <v>1:49:678</v>
      </c>
      <c r="BD51" s="70">
        <f t="shared" si="29"/>
        <v>1.123680921</v>
      </c>
      <c r="BE51" s="70">
        <f t="shared" si="30"/>
        <v>1.123680921</v>
      </c>
      <c r="BF51" s="147">
        <f t="shared" si="31"/>
        <v>112068</v>
      </c>
      <c r="BG51" s="147">
        <f t="shared" si="32"/>
        <v>109678</v>
      </c>
      <c r="BH51" s="1">
        <f t="shared" si="33"/>
        <v>109678</v>
      </c>
      <c r="BI51" s="1">
        <f t="shared" si="34"/>
        <v>10967835</v>
      </c>
      <c r="BJ51" s="1">
        <f t="shared" si="35"/>
        <v>400010967835</v>
      </c>
      <c r="BK51" s="1">
        <f t="shared" si="36"/>
        <v>109678</v>
      </c>
      <c r="BL51" s="1">
        <f t="shared" si="37"/>
        <v>18</v>
      </c>
      <c r="BM51" s="1" t="str">
        <f t="shared" si="38"/>
        <v>総合22</v>
      </c>
      <c r="BN51" s="1">
        <f t="shared" si="39"/>
        <v>5</v>
      </c>
      <c r="BO51" s="1" t="str">
        <f t="shared" si="40"/>
        <v>C25</v>
      </c>
      <c r="BP51" s="1">
        <f t="shared" si="41"/>
        <v>2</v>
      </c>
      <c r="BQ51" s="1" t="str">
        <f t="shared" si="42"/>
        <v>セパハン2</v>
      </c>
      <c r="BR51" s="1" t="str">
        <f t="shared" si="43"/>
        <v>-</v>
      </c>
      <c r="BS51" s="1" t="str">
        <f t="shared" si="44"/>
        <v>ミニ-</v>
      </c>
      <c r="BT51" s="1"/>
      <c r="BU51" s="1"/>
      <c r="BV51" s="1"/>
      <c r="BW51" s="1"/>
      <c r="BX51" s="1"/>
    </row>
    <row r="52">
      <c r="A52" s="1"/>
      <c r="B52" s="148" t="str">
        <f t="array" ref="B52">IFERROR(INDEX('DB(読み込みシート※編集厳禁)'!$A$3:$AH$501,MATCH($C52,'DB(読み込みシート※編集厳禁)'!$B$3:$B$501,0),MATCH(B$14,'DB(読み込みシート※編集厳禁)'!$A$2:$AH$2,0)),"")</f>
        <v>C2</v>
      </c>
      <c r="C52" s="149">
        <v>36.0</v>
      </c>
      <c r="D52" s="169" t="str">
        <f t="array" ref="D52">IFERROR(INDEX('DB(読み込みシート※編集厳禁)'!$A$3:$AH$501,MATCH($C52,'DB(読み込みシート※編集厳禁)'!$B$3:$B$501,0),MATCH(D$14,'DB(読み込みシート※編集厳禁)'!$A$2:$AH$2,0)),"")</f>
        <v>かねなしんちゃん</v>
      </c>
      <c r="E52" s="170" t="str">
        <f t="array" ref="E52">IFERROR(INDEX('DB(読み込みシート※編集厳禁)'!$A$3:$AH$501,MATCH($C52,'DB(読み込みシート※編集厳禁)'!$B$3:$B$501,0),MATCH(E$14,'DB(読み込みシート※編集厳禁)'!$A$2:$AH$2,0)),"")</f>
        <v>NINJA400</v>
      </c>
      <c r="F52" s="171" t="str">
        <f t="array" ref="F52">IFERROR(INDEX('DB(読み込みシート※編集厳禁)'!$A$3:$AH$501,MATCH($C52,'DB(読み込みシート※編集厳禁)'!$B$3:$B$501,0),MATCH(F$14,'DB(読み込みシート※編集厳禁)'!$A$2:$AH$2,0)),"")</f>
        <v>白/青</v>
      </c>
      <c r="G52" s="133" t="str">
        <f t="shared" si="8"/>
        <v>1:41:725</v>
      </c>
      <c r="H52" s="152" t="str">
        <f t="shared" si="9"/>
        <v>1:41:725</v>
      </c>
      <c r="I52" s="135">
        <v>141725.0</v>
      </c>
      <c r="J52" s="166"/>
      <c r="K52" s="137" t="s">
        <v>15</v>
      </c>
      <c r="L52" s="138" t="str">
        <f t="shared" si="10"/>
        <v>1</v>
      </c>
      <c r="M52" s="139" t="str">
        <f t="shared" si="11"/>
        <v>41</v>
      </c>
      <c r="N52" s="140" t="str">
        <f t="shared" si="12"/>
        <v>725</v>
      </c>
      <c r="O52" s="141" t="str">
        <f t="shared" si="13"/>
        <v>1:41:475</v>
      </c>
      <c r="P52" s="162" t="str">
        <f t="shared" si="14"/>
        <v>1:41:475</v>
      </c>
      <c r="Q52" s="148" t="str">
        <f t="array" ref="Q52">IFERROR(INDEX('DB(読み込みシート※編集厳禁)'!$A$3:$AH$501,MATCH($C52,'DB(読み込みシート※編集厳禁)'!$B$3:$B$501,0),MATCH(Q$14,'DB(読み込みシート※編集厳禁)'!$A$2:$AH$2,0)),"")</f>
        <v>C2</v>
      </c>
      <c r="R52" s="149">
        <v>36.0</v>
      </c>
      <c r="S52" s="169" t="str">
        <f t="array" ref="S52">IFERROR(INDEX('DB(読み込みシート※編集厳禁)'!$A$3:$AH$501,MATCH($C52,'DB(読み込みシート※編集厳禁)'!$B$3:$B$501,0),MATCH(S$14,'DB(読み込みシート※編集厳禁)'!$A$2:$AH$2,0)),"")</f>
        <v>かねなしんちゃん</v>
      </c>
      <c r="T52" s="170" t="str">
        <f t="array" ref="T52">IFERROR(INDEX('DB(読み込みシート※編集厳禁)'!$A$3:$AH$501,MATCH($C52,'DB(読み込みシート※編集厳禁)'!$B$3:$B$501,0),MATCH(T$14,'DB(読み込みシート※編集厳禁)'!$A$2:$AH$2,0)),"")</f>
        <v>NINJA400</v>
      </c>
      <c r="U52" s="135">
        <v>141475.0</v>
      </c>
      <c r="V52" s="166"/>
      <c r="W52" s="137" t="s">
        <v>15</v>
      </c>
      <c r="X52" s="138" t="str">
        <f t="shared" si="15"/>
        <v>1</v>
      </c>
      <c r="Y52" s="139" t="str">
        <f t="shared" si="16"/>
        <v>41</v>
      </c>
      <c r="Z52" s="144" t="str">
        <f t="shared" si="17"/>
        <v>475</v>
      </c>
      <c r="AA52" s="1"/>
      <c r="AB52" s="6"/>
      <c r="AC52" s="6"/>
      <c r="AD52" s="6"/>
      <c r="AE52" s="6"/>
      <c r="AF52" s="6"/>
      <c r="AG52" s="6">
        <f t="shared" si="18"/>
        <v>130000</v>
      </c>
      <c r="AH52" s="6">
        <f t="shared" si="19"/>
        <v>132036</v>
      </c>
      <c r="AI52" s="6" t="str">
        <f t="shared" si="20"/>
        <v>C2-1</v>
      </c>
      <c r="AJ52" s="6"/>
      <c r="AK52" s="6" t="str">
        <f t="shared" si="21"/>
        <v/>
      </c>
      <c r="AL52" s="6"/>
      <c r="AM52" s="6"/>
      <c r="AN52" s="6"/>
      <c r="AO52" s="6"/>
      <c r="AP52" s="6"/>
      <c r="AQ52" s="7"/>
      <c r="AR52" s="69"/>
      <c r="AS52" s="69"/>
      <c r="AT52" s="39">
        <v>36.0</v>
      </c>
      <c r="AU52" s="69" t="str">
        <f t="array" ref="AU52">IFERROR(INDEX('DB(読み込みシート※編集厳禁)'!$A$3:$AH$501,MATCH($C52,'DB(読み込みシート※編集厳禁)'!$B$3:$B$501,0),MATCH(AU$16,'DB(読み込みシート※編集厳禁)'!$A$2:$AH$2,0)),"")</f>
        <v>いいえ</v>
      </c>
      <c r="AV52" s="69" t="str">
        <f t="array" ref="AV52">IFERROR(INDEX('DB(読み込みシート※編集厳禁)'!$A$3:$AH$501,MATCH($C52,'DB(読み込みシート※編集厳禁)'!$B$3:$B$501,0),MATCH(AV$16,'DB(読み込みシート※編集厳禁)'!$A$2:$AH$2,0)),"")</f>
        <v>いいえ</v>
      </c>
      <c r="AW52" s="69" t="str">
        <f t="shared" si="22"/>
        <v>1:41:725</v>
      </c>
      <c r="AX52" s="69" t="str">
        <f t="shared" si="23"/>
        <v>1:41:725</v>
      </c>
      <c r="AY52" s="69" t="str">
        <f t="shared" si="24"/>
        <v>-</v>
      </c>
      <c r="AZ52" s="69" t="str">
        <f t="shared" si="25"/>
        <v>1:41:475</v>
      </c>
      <c r="BA52" s="69" t="str">
        <f t="shared" si="26"/>
        <v>1:41:475</v>
      </c>
      <c r="BB52" s="69" t="str">
        <f t="shared" si="27"/>
        <v>-</v>
      </c>
      <c r="BC52" s="69" t="str">
        <f t="shared" si="28"/>
        <v>1:41:475</v>
      </c>
      <c r="BD52" s="70">
        <f t="shared" si="29"/>
        <v>1.039638957</v>
      </c>
      <c r="BE52" s="70">
        <f t="shared" si="30"/>
        <v>1.039638957</v>
      </c>
      <c r="BF52" s="147">
        <f t="shared" si="31"/>
        <v>101725</v>
      </c>
      <c r="BG52" s="147">
        <f t="shared" si="32"/>
        <v>101475</v>
      </c>
      <c r="BH52" s="1">
        <f t="shared" si="33"/>
        <v>101475</v>
      </c>
      <c r="BI52" s="1">
        <f t="shared" si="34"/>
        <v>10147536</v>
      </c>
      <c r="BJ52" s="1">
        <f t="shared" si="35"/>
        <v>400010147536</v>
      </c>
      <c r="BK52" s="1">
        <f t="shared" si="36"/>
        <v>101475</v>
      </c>
      <c r="BL52" s="1">
        <f t="shared" si="37"/>
        <v>4</v>
      </c>
      <c r="BM52" s="1" t="str">
        <f t="shared" si="38"/>
        <v>総合18</v>
      </c>
      <c r="BN52" s="1">
        <f t="shared" si="39"/>
        <v>1</v>
      </c>
      <c r="BO52" s="1" t="str">
        <f t="shared" si="40"/>
        <v>C21</v>
      </c>
      <c r="BP52" s="1" t="str">
        <f t="shared" si="41"/>
        <v>-</v>
      </c>
      <c r="BQ52" s="1" t="str">
        <f t="shared" si="42"/>
        <v>セパハン-</v>
      </c>
      <c r="BR52" s="1" t="str">
        <f t="shared" si="43"/>
        <v>-</v>
      </c>
      <c r="BS52" s="1" t="str">
        <f t="shared" si="44"/>
        <v>ミニ-</v>
      </c>
      <c r="BT52" s="1"/>
      <c r="BU52" s="1"/>
      <c r="BV52" s="1"/>
      <c r="BW52" s="1"/>
      <c r="BX52" s="1"/>
    </row>
    <row r="53">
      <c r="A53" s="1"/>
      <c r="B53" s="148" t="str">
        <f t="array" ref="B53">IFERROR(INDEX('DB(読み込みシート※編集厳禁)'!$A$3:$AH$501,MATCH($C53,'DB(読み込みシート※編集厳禁)'!$B$3:$B$501,0),MATCH(B$14,'DB(読み込みシート※編集厳禁)'!$A$2:$AH$2,0)),"")</f>
        <v>C2</v>
      </c>
      <c r="C53" s="149">
        <v>37.0</v>
      </c>
      <c r="D53" s="169" t="str">
        <f t="array" ref="D53">IFERROR(INDEX('DB(読み込みシート※編集厳禁)'!$A$3:$AH$501,MATCH($C53,'DB(読み込みシート※編集厳禁)'!$B$3:$B$501,0),MATCH(D$14,'DB(読み込みシート※編集厳禁)'!$A$2:$AH$2,0)),"")</f>
        <v>TAM</v>
      </c>
      <c r="E53" s="170" t="str">
        <f t="array" ref="E53">IFERROR(INDEX('DB(読み込みシート※編集厳禁)'!$A$3:$AH$501,MATCH($C53,'DB(読み込みシート※編集厳禁)'!$B$3:$B$501,0),MATCH(E$14,'DB(読み込みシート※編集厳禁)'!$A$2:$AH$2,0)),"")</f>
        <v>GROM</v>
      </c>
      <c r="F53" s="171" t="str">
        <f t="array" ref="F53">IFERROR(INDEX('DB(読み込みシート※編集厳禁)'!$A$3:$AH$501,MATCH($C53,'DB(読み込みシート※編集厳禁)'!$B$3:$B$501,0),MATCH(F$14,'DB(読み込みシート※編集厳禁)'!$A$2:$AH$2,0)),"")</f>
        <v>ゴールド</v>
      </c>
      <c r="G53" s="133" t="str">
        <f t="shared" si="8"/>
        <v>1:57:197</v>
      </c>
      <c r="H53" s="152" t="str">
        <f t="shared" si="9"/>
        <v>1:57:197</v>
      </c>
      <c r="I53" s="135">
        <v>157197.0</v>
      </c>
      <c r="J53" s="166"/>
      <c r="K53" s="137" t="s">
        <v>15</v>
      </c>
      <c r="L53" s="138" t="str">
        <f t="shared" si="10"/>
        <v>1</v>
      </c>
      <c r="M53" s="139" t="str">
        <f t="shared" si="11"/>
        <v>57</v>
      </c>
      <c r="N53" s="140" t="str">
        <f t="shared" si="12"/>
        <v>197</v>
      </c>
      <c r="O53" s="141" t="str">
        <f t="shared" si="13"/>
        <v>1:46:979</v>
      </c>
      <c r="P53" s="162" t="str">
        <f t="shared" si="14"/>
        <v>1:46:979</v>
      </c>
      <c r="Q53" s="148" t="str">
        <f t="array" ref="Q53">IFERROR(INDEX('DB(読み込みシート※編集厳禁)'!$A$3:$AH$501,MATCH($C53,'DB(読み込みシート※編集厳禁)'!$B$3:$B$501,0),MATCH(Q$14,'DB(読み込みシート※編集厳禁)'!$A$2:$AH$2,0)),"")</f>
        <v>C2</v>
      </c>
      <c r="R53" s="149">
        <v>37.0</v>
      </c>
      <c r="S53" s="169" t="str">
        <f t="array" ref="S53">IFERROR(INDEX('DB(読み込みシート※編集厳禁)'!$A$3:$AH$501,MATCH($C53,'DB(読み込みシート※編集厳禁)'!$B$3:$B$501,0),MATCH(S$14,'DB(読み込みシート※編集厳禁)'!$A$2:$AH$2,0)),"")</f>
        <v>TAM</v>
      </c>
      <c r="T53" s="170" t="str">
        <f t="array" ref="T53">IFERROR(INDEX('DB(読み込みシート※編集厳禁)'!$A$3:$AH$501,MATCH($C53,'DB(読み込みシート※編集厳禁)'!$B$3:$B$501,0),MATCH(T$14,'DB(読み込みシート※編集厳禁)'!$A$2:$AH$2,0)),"")</f>
        <v>GROM</v>
      </c>
      <c r="U53" s="135">
        <v>146979.0</v>
      </c>
      <c r="V53" s="166"/>
      <c r="W53" s="137" t="s">
        <v>15</v>
      </c>
      <c r="X53" s="138" t="str">
        <f t="shared" si="15"/>
        <v>1</v>
      </c>
      <c r="Y53" s="139" t="str">
        <f t="shared" si="16"/>
        <v>46</v>
      </c>
      <c r="Z53" s="144" t="str">
        <f t="shared" si="17"/>
        <v>979</v>
      </c>
      <c r="AA53" s="1"/>
      <c r="AB53" s="6"/>
      <c r="AC53" s="6"/>
      <c r="AD53" s="6"/>
      <c r="AE53" s="6"/>
      <c r="AF53" s="6"/>
      <c r="AG53" s="6">
        <f t="shared" si="18"/>
        <v>130000</v>
      </c>
      <c r="AH53" s="6">
        <f t="shared" si="19"/>
        <v>132037</v>
      </c>
      <c r="AI53" s="6" t="str">
        <f t="shared" si="20"/>
        <v>C2-2</v>
      </c>
      <c r="AJ53" s="6"/>
      <c r="AK53" s="6" t="str">
        <f t="shared" si="21"/>
        <v/>
      </c>
      <c r="AL53" s="6"/>
      <c r="AM53" s="6"/>
      <c r="AN53" s="6"/>
      <c r="AO53" s="6"/>
      <c r="AP53" s="6"/>
      <c r="AQ53" s="7"/>
      <c r="AR53" s="69"/>
      <c r="AS53" s="69"/>
      <c r="AT53" s="39">
        <v>37.0</v>
      </c>
      <c r="AU53" s="69" t="str">
        <f t="array" ref="AU53">IFERROR(INDEX('DB(読み込みシート※編集厳禁)'!$A$3:$AH$501,MATCH($C53,'DB(読み込みシート※編集厳禁)'!$B$3:$B$501,0),MATCH(AU$16,'DB(読み込みシート※編集厳禁)'!$A$2:$AH$2,0)),"")</f>
        <v>いいえ</v>
      </c>
      <c r="AV53" s="69" t="str">
        <f t="array" ref="AV53">IFERROR(INDEX('DB(読み込みシート※編集厳禁)'!$A$3:$AH$501,MATCH($C53,'DB(読み込みシート※編集厳禁)'!$B$3:$B$501,0),MATCH(AV$16,'DB(読み込みシート※編集厳禁)'!$A$2:$AH$2,0)),"")</f>
        <v>いいえ</v>
      </c>
      <c r="AW53" s="69" t="str">
        <f t="shared" si="22"/>
        <v>1:57:197</v>
      </c>
      <c r="AX53" s="69" t="str">
        <f t="shared" si="23"/>
        <v>1:57:197</v>
      </c>
      <c r="AY53" s="69" t="str">
        <f t="shared" si="24"/>
        <v>-</v>
      </c>
      <c r="AZ53" s="69" t="str">
        <f t="shared" si="25"/>
        <v>1:46:979</v>
      </c>
      <c r="BA53" s="69" t="str">
        <f t="shared" si="26"/>
        <v>1:46:979</v>
      </c>
      <c r="BB53" s="69" t="str">
        <f t="shared" si="27"/>
        <v>-</v>
      </c>
      <c r="BC53" s="69" t="str">
        <f t="shared" si="28"/>
        <v>1:46:979</v>
      </c>
      <c r="BD53" s="70">
        <f t="shared" si="29"/>
        <v>1.096028933</v>
      </c>
      <c r="BE53" s="70">
        <f t="shared" si="30"/>
        <v>1.096028933</v>
      </c>
      <c r="BF53" s="147">
        <f t="shared" si="31"/>
        <v>117197</v>
      </c>
      <c r="BG53" s="147">
        <f t="shared" si="32"/>
        <v>106979</v>
      </c>
      <c r="BH53" s="1">
        <f t="shared" si="33"/>
        <v>106979</v>
      </c>
      <c r="BI53" s="1">
        <f t="shared" si="34"/>
        <v>10697937</v>
      </c>
      <c r="BJ53" s="1">
        <f t="shared" si="35"/>
        <v>400010697937</v>
      </c>
      <c r="BK53" s="1">
        <f t="shared" si="36"/>
        <v>106979</v>
      </c>
      <c r="BL53" s="1">
        <f t="shared" si="37"/>
        <v>12</v>
      </c>
      <c r="BM53" s="1" t="str">
        <f t="shared" si="38"/>
        <v>総合19</v>
      </c>
      <c r="BN53" s="1">
        <f t="shared" si="39"/>
        <v>2</v>
      </c>
      <c r="BO53" s="1" t="str">
        <f t="shared" si="40"/>
        <v>C22</v>
      </c>
      <c r="BP53" s="1" t="str">
        <f t="shared" si="41"/>
        <v>-</v>
      </c>
      <c r="BQ53" s="1" t="str">
        <f t="shared" si="42"/>
        <v>セパハン-</v>
      </c>
      <c r="BR53" s="1" t="str">
        <f t="shared" si="43"/>
        <v>-</v>
      </c>
      <c r="BS53" s="1" t="str">
        <f t="shared" si="44"/>
        <v>ミニ-</v>
      </c>
      <c r="BT53" s="1"/>
      <c r="BU53" s="1"/>
      <c r="BV53" s="1"/>
      <c r="BW53" s="1"/>
      <c r="BX53" s="1"/>
    </row>
    <row r="54">
      <c r="A54" s="1"/>
      <c r="B54" s="148" t="str">
        <f t="array" ref="B54">IFERROR(INDEX('DB(読み込みシート※編集厳禁)'!$A$3:$AH$501,MATCH($C54,'DB(読み込みシート※編集厳禁)'!$B$3:$B$501,0),MATCH(B$14,'DB(読み込みシート※編集厳禁)'!$A$2:$AH$2,0)),"")</f>
        <v>C1</v>
      </c>
      <c r="C54" s="149">
        <v>38.0</v>
      </c>
      <c r="D54" s="169" t="str">
        <f t="array" ref="D54">IFERROR(INDEX('DB(読み込みシート※編集厳禁)'!$A$3:$AH$501,MATCH($C54,'DB(読み込みシート※編集厳禁)'!$B$3:$B$501,0),MATCH(D$14,'DB(読み込みシート※編集厳禁)'!$A$2:$AH$2,0)),"")</f>
        <v>岡さーもん</v>
      </c>
      <c r="E54" s="170" t="str">
        <f t="array" ref="E54">IFERROR(INDEX('DB(読み込みシート※編集厳禁)'!$A$3:$AH$501,MATCH($C54,'DB(読み込みシート※編集厳禁)'!$B$3:$B$501,0),MATCH(E$14,'DB(読み込みシート※編集厳禁)'!$A$2:$AH$2,0)),"")</f>
        <v>CBR600RR</v>
      </c>
      <c r="F54" s="171" t="str">
        <f t="array" ref="F54">IFERROR(INDEX('DB(読み込みシート※編集厳禁)'!$A$3:$AH$501,MATCH($C54,'DB(読み込みシート※編集厳禁)'!$B$3:$B$501,0),MATCH(F$14,'DB(読み込みシート※編集厳禁)'!$A$2:$AH$2,0)),"")</f>
        <v>ロスマンズ</v>
      </c>
      <c r="G54" s="133" t="str">
        <f t="shared" si="8"/>
        <v>9:99:999</v>
      </c>
      <c r="H54" s="152" t="str">
        <f t="shared" si="9"/>
        <v>9:99:999</v>
      </c>
      <c r="I54" s="135">
        <v>153852.0</v>
      </c>
      <c r="J54" s="166"/>
      <c r="K54" s="137" t="s">
        <v>9</v>
      </c>
      <c r="L54" s="138" t="str">
        <f t="shared" si="10"/>
        <v>1</v>
      </c>
      <c r="M54" s="139" t="str">
        <f t="shared" si="11"/>
        <v>53</v>
      </c>
      <c r="N54" s="140" t="str">
        <f t="shared" si="12"/>
        <v>852</v>
      </c>
      <c r="O54" s="141" t="str">
        <f t="shared" si="13"/>
        <v>1:49:711</v>
      </c>
      <c r="P54" s="162" t="str">
        <f t="shared" si="14"/>
        <v>1:49:711</v>
      </c>
      <c r="Q54" s="148" t="str">
        <f t="array" ref="Q54">IFERROR(INDEX('DB(読み込みシート※編集厳禁)'!$A$3:$AH$501,MATCH($C54,'DB(読み込みシート※編集厳禁)'!$B$3:$B$501,0),MATCH(Q$14,'DB(読み込みシート※編集厳禁)'!$A$2:$AH$2,0)),"")</f>
        <v>C1</v>
      </c>
      <c r="R54" s="149">
        <v>38.0</v>
      </c>
      <c r="S54" s="169" t="str">
        <f t="array" ref="S54">IFERROR(INDEX('DB(読み込みシート※編集厳禁)'!$A$3:$AH$501,MATCH($C54,'DB(読み込みシート※編集厳禁)'!$B$3:$B$501,0),MATCH(S$14,'DB(読み込みシート※編集厳禁)'!$A$2:$AH$2,0)),"")</f>
        <v>岡さーもん</v>
      </c>
      <c r="T54" s="170" t="str">
        <f t="array" ref="T54">IFERROR(INDEX('DB(読み込みシート※編集厳禁)'!$A$3:$AH$501,MATCH($C54,'DB(読み込みシート※編集厳禁)'!$B$3:$B$501,0),MATCH(T$14,'DB(読み込みシート※編集厳禁)'!$A$2:$AH$2,0)),"")</f>
        <v>CBR600RR</v>
      </c>
      <c r="U54" s="135">
        <v>149711.0</v>
      </c>
      <c r="V54" s="166"/>
      <c r="W54" s="137" t="s">
        <v>15</v>
      </c>
      <c r="X54" s="138" t="str">
        <f t="shared" si="15"/>
        <v>1</v>
      </c>
      <c r="Y54" s="139" t="str">
        <f t="shared" si="16"/>
        <v>49</v>
      </c>
      <c r="Z54" s="144" t="str">
        <f t="shared" si="17"/>
        <v>711</v>
      </c>
      <c r="AA54" s="1"/>
      <c r="AB54" s="6"/>
      <c r="AC54" s="6"/>
      <c r="AD54" s="6"/>
      <c r="AE54" s="6"/>
      <c r="AF54" s="6"/>
      <c r="AG54" s="6">
        <f t="shared" si="18"/>
        <v>140000</v>
      </c>
      <c r="AH54" s="6">
        <f t="shared" si="19"/>
        <v>142038</v>
      </c>
      <c r="AI54" s="6" t="str">
        <f t="shared" si="20"/>
        <v>C1-6</v>
      </c>
      <c r="AJ54" s="6"/>
      <c r="AK54" s="6" t="str">
        <f t="shared" si="21"/>
        <v/>
      </c>
      <c r="AL54" s="6"/>
      <c r="AM54" s="6"/>
      <c r="AN54" s="6"/>
      <c r="AO54" s="6"/>
      <c r="AP54" s="6"/>
      <c r="AQ54" s="7"/>
      <c r="AR54" s="69"/>
      <c r="AS54" s="69"/>
      <c r="AT54" s="39">
        <v>38.0</v>
      </c>
      <c r="AU54" s="69" t="str">
        <f t="array" ref="AU54">IFERROR(INDEX('DB(読み込みシート※編集厳禁)'!$A$3:$AH$501,MATCH($C54,'DB(読み込みシート※編集厳禁)'!$B$3:$B$501,0),MATCH(AU$16,'DB(読み込みシート※編集厳禁)'!$A$2:$AH$2,0)),"")</f>
        <v>いいえ</v>
      </c>
      <c r="AV54" s="69" t="str">
        <f t="array" ref="AV54">IFERROR(INDEX('DB(読み込みシート※編集厳禁)'!$A$3:$AH$501,MATCH($C54,'DB(読み込みシート※編集厳禁)'!$B$3:$B$501,0),MATCH(AV$16,'DB(読み込みシート※編集厳禁)'!$A$2:$AH$2,0)),"")</f>
        <v>いいえ</v>
      </c>
      <c r="AW54" s="69" t="str">
        <f t="shared" si="22"/>
        <v>9:99:999</v>
      </c>
      <c r="AX54" s="69" t="str">
        <f t="shared" si="23"/>
        <v>9:99:999</v>
      </c>
      <c r="AY54" s="69" t="str">
        <f t="shared" si="24"/>
        <v>MC</v>
      </c>
      <c r="AZ54" s="69" t="str">
        <f t="shared" si="25"/>
        <v>1:49:711</v>
      </c>
      <c r="BA54" s="69" t="str">
        <f t="shared" si="26"/>
        <v>1:49:711</v>
      </c>
      <c r="BB54" s="69" t="str">
        <f t="shared" si="27"/>
        <v>-</v>
      </c>
      <c r="BC54" s="69" t="str">
        <f t="shared" si="28"/>
        <v>1:49:711</v>
      </c>
      <c r="BD54" s="70">
        <f t="shared" si="29"/>
        <v>1.124019015</v>
      </c>
      <c r="BE54" s="70">
        <f t="shared" si="30"/>
        <v>1.124019015</v>
      </c>
      <c r="BF54" s="1">
        <f t="shared" si="31"/>
        <v>999999</v>
      </c>
      <c r="BG54" s="147">
        <f t="shared" si="32"/>
        <v>109711</v>
      </c>
      <c r="BH54" s="1">
        <f t="shared" si="33"/>
        <v>109711</v>
      </c>
      <c r="BI54" s="1">
        <f t="shared" si="34"/>
        <v>10971138</v>
      </c>
      <c r="BJ54" s="1">
        <f t="shared" si="35"/>
        <v>300010971138</v>
      </c>
      <c r="BK54" s="1">
        <f t="shared" si="36"/>
        <v>109711</v>
      </c>
      <c r="BL54" s="1">
        <f t="shared" si="37"/>
        <v>19</v>
      </c>
      <c r="BM54" s="1" t="str">
        <f t="shared" si="38"/>
        <v>総合13</v>
      </c>
      <c r="BN54" s="1">
        <f t="shared" si="39"/>
        <v>6</v>
      </c>
      <c r="BO54" s="1" t="str">
        <f t="shared" si="40"/>
        <v>C16</v>
      </c>
      <c r="BP54" s="1" t="str">
        <f t="shared" si="41"/>
        <v>-</v>
      </c>
      <c r="BQ54" s="1" t="str">
        <f t="shared" si="42"/>
        <v>セパハン-</v>
      </c>
      <c r="BR54" s="1" t="str">
        <f t="shared" si="43"/>
        <v>-</v>
      </c>
      <c r="BS54" s="1" t="str">
        <f t="shared" si="44"/>
        <v>ミニ-</v>
      </c>
      <c r="BT54" s="1"/>
      <c r="BU54" s="1"/>
      <c r="BV54" s="1"/>
      <c r="BW54" s="1"/>
      <c r="BX54" s="1"/>
    </row>
    <row r="55">
      <c r="A55" s="1"/>
      <c r="B55" s="148" t="str">
        <f t="array" ref="B55">IFERROR(INDEX('DB(読み込みシート※編集厳禁)'!$A$3:$AH$501,MATCH($C55,'DB(読み込みシート※編集厳禁)'!$B$3:$B$501,0),MATCH(B$14,'DB(読み込みシート※編集厳禁)'!$A$2:$AH$2,0)),"")</f>
        <v>C1</v>
      </c>
      <c r="C55" s="149">
        <v>39.0</v>
      </c>
      <c r="D55" s="169" t="str">
        <f t="array" ref="D55">IFERROR(INDEX('DB(読み込みシート※編集厳禁)'!$A$3:$AH$501,MATCH($C55,'DB(読み込みシート※編集厳禁)'!$B$3:$B$501,0),MATCH(D$14,'DB(読み込みシート※編集厳禁)'!$A$2:$AH$2,0)),"")</f>
        <v>もんじろう</v>
      </c>
      <c r="E55" s="170" t="str">
        <f t="array" ref="E55">IFERROR(INDEX('DB(読み込みシート※編集厳禁)'!$A$3:$AH$501,MATCH($C55,'DB(読み込みシート※編集厳禁)'!$B$3:$B$501,0),MATCH(E$14,'DB(読み込みシート※編集厳禁)'!$A$2:$AH$2,0)),"")</f>
        <v>WR450F</v>
      </c>
      <c r="F55" s="171" t="str">
        <f t="array" ref="F55">IFERROR(INDEX('DB(読み込みシート※編集厳禁)'!$A$3:$AH$501,MATCH($C55,'DB(読み込みシート※編集厳禁)'!$B$3:$B$501,0),MATCH(F$14,'DB(読み込みシート※編集厳禁)'!$A$2:$AH$2,0)),"")</f>
        <v>青/白</v>
      </c>
      <c r="G55" s="133" t="str">
        <f t="shared" si="8"/>
        <v>DNS</v>
      </c>
      <c r="H55" s="152" t="str">
        <f t="shared" si="9"/>
        <v>:00:000</v>
      </c>
      <c r="I55" s="135"/>
      <c r="J55" s="166"/>
      <c r="K55" s="137" t="s">
        <v>15</v>
      </c>
      <c r="L55" s="138" t="str">
        <f t="shared" si="10"/>
        <v/>
      </c>
      <c r="M55" s="139" t="str">
        <f t="shared" si="11"/>
        <v/>
      </c>
      <c r="N55" s="140" t="str">
        <f t="shared" si="12"/>
        <v/>
      </c>
      <c r="O55" s="141" t="str">
        <f t="shared" si="13"/>
        <v>DNS</v>
      </c>
      <c r="P55" s="162" t="str">
        <f t="shared" si="14"/>
        <v>:00:000</v>
      </c>
      <c r="Q55" s="148" t="str">
        <f t="array" ref="Q55">IFERROR(INDEX('DB(読み込みシート※編集厳禁)'!$A$3:$AH$501,MATCH($C55,'DB(読み込みシート※編集厳禁)'!$B$3:$B$501,0),MATCH(Q$14,'DB(読み込みシート※編集厳禁)'!$A$2:$AH$2,0)),"")</f>
        <v>C1</v>
      </c>
      <c r="R55" s="149">
        <v>39.0</v>
      </c>
      <c r="S55" s="169" t="str">
        <f t="array" ref="S55">IFERROR(INDEX('DB(読み込みシート※編集厳禁)'!$A$3:$AH$501,MATCH($C55,'DB(読み込みシート※編集厳禁)'!$B$3:$B$501,0),MATCH(S$14,'DB(読み込みシート※編集厳禁)'!$A$2:$AH$2,0)),"")</f>
        <v>もんじろう</v>
      </c>
      <c r="T55" s="170" t="str">
        <f t="array" ref="T55">IFERROR(INDEX('DB(読み込みシート※編集厳禁)'!$A$3:$AH$501,MATCH($C55,'DB(読み込みシート※編集厳禁)'!$B$3:$B$501,0),MATCH(T$14,'DB(読み込みシート※編集厳禁)'!$A$2:$AH$2,0)),"")</f>
        <v>WR450F</v>
      </c>
      <c r="U55" s="135"/>
      <c r="V55" s="166"/>
      <c r="W55" s="137" t="s">
        <v>15</v>
      </c>
      <c r="X55" s="138" t="str">
        <f t="shared" si="15"/>
        <v/>
      </c>
      <c r="Y55" s="139" t="str">
        <f t="shared" si="16"/>
        <v/>
      </c>
      <c r="Z55" s="144" t="str">
        <f t="shared" si="17"/>
        <v/>
      </c>
      <c r="AA55" s="1"/>
      <c r="AB55" s="6"/>
      <c r="AC55" s="6"/>
      <c r="AD55" s="6"/>
      <c r="AE55" s="6"/>
      <c r="AF55" s="6"/>
      <c r="AG55" s="6" t="str">
        <f t="shared" si="18"/>
        <v/>
      </c>
      <c r="AH55" s="6" t="str">
        <f t="shared" si="19"/>
        <v/>
      </c>
      <c r="AI55" s="6" t="str">
        <f t="shared" si="20"/>
        <v>C1--</v>
      </c>
      <c r="AJ55" s="6"/>
      <c r="AK55" s="6" t="str">
        <f t="shared" si="21"/>
        <v/>
      </c>
      <c r="AL55" s="6"/>
      <c r="AM55" s="6"/>
      <c r="AN55" s="6"/>
      <c r="AO55" s="6"/>
      <c r="AP55" s="6"/>
      <c r="AQ55" s="7"/>
      <c r="AR55" s="69"/>
      <c r="AS55" s="69"/>
      <c r="AT55" s="39">
        <v>39.0</v>
      </c>
      <c r="AU55" s="69" t="str">
        <f t="array" ref="AU55">IFERROR(INDEX('DB(読み込みシート※編集厳禁)'!$A$3:$AH$501,MATCH($C55,'DB(読み込みシート※編集厳禁)'!$B$3:$B$501,0),MATCH(AU$16,'DB(読み込みシート※編集厳禁)'!$A$2:$AH$2,0)),"")</f>
        <v>いいえ</v>
      </c>
      <c r="AV55" s="69" t="str">
        <f t="array" ref="AV55">IFERROR(INDEX('DB(読み込みシート※編集厳禁)'!$A$3:$AH$501,MATCH($C55,'DB(読み込みシート※編集厳禁)'!$B$3:$B$501,0),MATCH(AV$16,'DB(読み込みシート※編集厳禁)'!$A$2:$AH$2,0)),"")</f>
        <v>いいえ</v>
      </c>
      <c r="AW55" s="69" t="str">
        <f t="shared" si="22"/>
        <v>DNS</v>
      </c>
      <c r="AX55" s="69" t="str">
        <f t="shared" si="23"/>
        <v>DNS</v>
      </c>
      <c r="AY55" s="69" t="str">
        <f t="shared" si="24"/>
        <v>-</v>
      </c>
      <c r="AZ55" s="69" t="str">
        <f t="shared" si="25"/>
        <v>DNS</v>
      </c>
      <c r="BA55" s="69" t="str">
        <f t="shared" si="26"/>
        <v>DNS</v>
      </c>
      <c r="BB55" s="69" t="str">
        <f t="shared" si="27"/>
        <v>-</v>
      </c>
      <c r="BC55" s="69" t="str">
        <f t="shared" si="28"/>
        <v>DNS</v>
      </c>
      <c r="BD55" s="70" t="str">
        <f t="shared" si="29"/>
        <v>-</v>
      </c>
      <c r="BE55" s="70" t="str">
        <f t="shared" si="30"/>
        <v>-</v>
      </c>
      <c r="BF55" s="1">
        <f t="shared" si="31"/>
        <v>999999</v>
      </c>
      <c r="BG55" s="1">
        <f t="shared" si="32"/>
        <v>999999</v>
      </c>
      <c r="BH55" s="1">
        <f t="shared" si="33"/>
        <v>999999</v>
      </c>
      <c r="BI55" s="1">
        <f t="shared" si="34"/>
        <v>10000000039</v>
      </c>
      <c r="BJ55" s="1">
        <f t="shared" si="35"/>
        <v>310000000039</v>
      </c>
      <c r="BK55" s="1">
        <f t="shared" si="36"/>
        <v>100000000</v>
      </c>
      <c r="BL55" s="1" t="str">
        <f t="shared" si="37"/>
        <v>-</v>
      </c>
      <c r="BM55" s="1" t="str">
        <f t="shared" si="38"/>
        <v>総合16</v>
      </c>
      <c r="BN55" s="1" t="str">
        <f t="shared" si="39"/>
        <v>-</v>
      </c>
      <c r="BO55" s="1" t="str">
        <f t="shared" si="40"/>
        <v>C19</v>
      </c>
      <c r="BP55" s="1" t="str">
        <f t="shared" si="41"/>
        <v>-</v>
      </c>
      <c r="BQ55" s="1" t="str">
        <f t="shared" si="42"/>
        <v>セパハン-</v>
      </c>
      <c r="BR55" s="1" t="str">
        <f t="shared" si="43"/>
        <v>-</v>
      </c>
      <c r="BS55" s="1" t="str">
        <f t="shared" si="44"/>
        <v>ミニ-</v>
      </c>
      <c r="BT55" s="1"/>
      <c r="BU55" s="1"/>
      <c r="BV55" s="1"/>
      <c r="BW55" s="1"/>
      <c r="BX55" s="1"/>
    </row>
    <row r="56">
      <c r="A56" s="1"/>
      <c r="B56" s="148" t="str">
        <f t="array" ref="B56">IFERROR(INDEX('DB(読み込みシート※編集厳禁)'!$A$3:$AH$501,MATCH($C56,'DB(読み込みシート※編集厳禁)'!$B$3:$B$501,0),MATCH(B$14,'DB(読み込みシート※編集厳禁)'!$A$2:$AH$2,0)),"")</f>
        <v>C1</v>
      </c>
      <c r="C56" s="149">
        <v>40.0</v>
      </c>
      <c r="D56" s="169" t="str">
        <f t="array" ref="D56">IFERROR(INDEX('DB(読み込みシート※編集厳禁)'!$A$3:$AH$501,MATCH($C56,'DB(読み込みシート※編集厳禁)'!$B$3:$B$501,0),MATCH(D$14,'DB(読み込みシート※編集厳禁)'!$A$2:$AH$2,0)),"")</f>
        <v>組長</v>
      </c>
      <c r="E56" s="170" t="str">
        <f t="array" ref="E56">IFERROR(INDEX('DB(読み込みシート※編集厳禁)'!$A$3:$AH$501,MATCH($C56,'DB(読み込みシート※編集厳禁)'!$B$3:$B$501,0),MATCH(E$14,'DB(読み込みシート※編集厳禁)'!$A$2:$AH$2,0)),"")</f>
        <v>GSX-R1000</v>
      </c>
      <c r="F56" s="171" t="str">
        <f t="array" ref="F56">IFERROR(INDEX('DB(読み込みシート※編集厳禁)'!$A$3:$AH$501,MATCH($C56,'DB(読み込みシート※編集厳禁)'!$B$3:$B$501,0),MATCH(F$14,'DB(読み込みシート※編集厳禁)'!$A$2:$AH$2,0)),"")</f>
        <v>白</v>
      </c>
      <c r="G56" s="133" t="str">
        <f t="shared" si="8"/>
        <v>2:08:005</v>
      </c>
      <c r="H56" s="152" t="str">
        <f t="shared" si="9"/>
        <v>2:08:005</v>
      </c>
      <c r="I56" s="135">
        <v>208005.0</v>
      </c>
      <c r="J56" s="166"/>
      <c r="K56" s="137" t="s">
        <v>15</v>
      </c>
      <c r="L56" s="138" t="str">
        <f t="shared" si="10"/>
        <v>2</v>
      </c>
      <c r="M56" s="139" t="str">
        <f t="shared" si="11"/>
        <v>08</v>
      </c>
      <c r="N56" s="140" t="str">
        <f t="shared" si="12"/>
        <v>005</v>
      </c>
      <c r="O56" s="141" t="str">
        <f t="shared" si="13"/>
        <v>2:00:926</v>
      </c>
      <c r="P56" s="162" t="str">
        <f t="shared" si="14"/>
        <v>2:00:926</v>
      </c>
      <c r="Q56" s="148" t="str">
        <f t="array" ref="Q56">IFERROR(INDEX('DB(読み込みシート※編集厳禁)'!$A$3:$AH$501,MATCH($C56,'DB(読み込みシート※編集厳禁)'!$B$3:$B$501,0),MATCH(Q$14,'DB(読み込みシート※編集厳禁)'!$A$2:$AH$2,0)),"")</f>
        <v>C1</v>
      </c>
      <c r="R56" s="149">
        <v>40.0</v>
      </c>
      <c r="S56" s="169" t="str">
        <f t="array" ref="S56">IFERROR(INDEX('DB(読み込みシート※編集厳禁)'!$A$3:$AH$501,MATCH($C56,'DB(読み込みシート※編集厳禁)'!$B$3:$B$501,0),MATCH(S$14,'DB(読み込みシート※編集厳禁)'!$A$2:$AH$2,0)),"")</f>
        <v>組長</v>
      </c>
      <c r="T56" s="170" t="str">
        <f t="array" ref="T56">IFERROR(INDEX('DB(読み込みシート※編集厳禁)'!$A$3:$AH$501,MATCH($C56,'DB(読み込みシート※編集厳禁)'!$B$3:$B$501,0),MATCH(T$14,'DB(読み込みシート※編集厳禁)'!$A$2:$AH$2,0)),"")</f>
        <v>GSX-R1000</v>
      </c>
      <c r="U56" s="135">
        <v>200926.0</v>
      </c>
      <c r="V56" s="166"/>
      <c r="W56" s="137" t="s">
        <v>15</v>
      </c>
      <c r="X56" s="138" t="str">
        <f t="shared" si="15"/>
        <v>2</v>
      </c>
      <c r="Y56" s="139" t="str">
        <f t="shared" si="16"/>
        <v>00</v>
      </c>
      <c r="Z56" s="144" t="str">
        <f t="shared" si="17"/>
        <v>926</v>
      </c>
      <c r="AA56" s="1"/>
      <c r="AB56" s="6"/>
      <c r="AC56" s="6"/>
      <c r="AD56" s="6"/>
      <c r="AE56" s="6"/>
      <c r="AF56" s="6"/>
      <c r="AG56" s="6">
        <f t="shared" si="18"/>
        <v>140000</v>
      </c>
      <c r="AH56" s="6">
        <f t="shared" si="19"/>
        <v>142040</v>
      </c>
      <c r="AI56" s="6" t="str">
        <f t="shared" si="20"/>
        <v>C1-8</v>
      </c>
      <c r="AJ56" s="6"/>
      <c r="AK56" s="6" t="str">
        <f t="shared" si="21"/>
        <v/>
      </c>
      <c r="AL56" s="6"/>
      <c r="AM56" s="6"/>
      <c r="AN56" s="6"/>
      <c r="AO56" s="6"/>
      <c r="AP56" s="6"/>
      <c r="AQ56" s="7"/>
      <c r="AR56" s="69"/>
      <c r="AS56" s="69"/>
      <c r="AT56" s="39">
        <v>40.0</v>
      </c>
      <c r="AU56" s="69" t="str">
        <f t="array" ref="AU56">IFERROR(INDEX('DB(読み込みシート※編集厳禁)'!$A$3:$AH$501,MATCH($C56,'DB(読み込みシート※編集厳禁)'!$B$3:$B$501,0),MATCH(AU$16,'DB(読み込みシート※編集厳禁)'!$A$2:$AH$2,0)),"")</f>
        <v>いいえ</v>
      </c>
      <c r="AV56" s="69" t="str">
        <f t="array" ref="AV56">IFERROR(INDEX('DB(読み込みシート※編集厳禁)'!$A$3:$AH$501,MATCH($C56,'DB(読み込みシート※編集厳禁)'!$B$3:$B$501,0),MATCH(AV$16,'DB(読み込みシート※編集厳禁)'!$A$2:$AH$2,0)),"")</f>
        <v>いいえ</v>
      </c>
      <c r="AW56" s="69" t="str">
        <f t="shared" si="22"/>
        <v>2:08:005</v>
      </c>
      <c r="AX56" s="69" t="str">
        <f t="shared" si="23"/>
        <v>2:08:005</v>
      </c>
      <c r="AY56" s="69" t="str">
        <f t="shared" si="24"/>
        <v>-</v>
      </c>
      <c r="AZ56" s="69" t="str">
        <f t="shared" si="25"/>
        <v>2:00:926</v>
      </c>
      <c r="BA56" s="69" t="str">
        <f t="shared" si="26"/>
        <v>2:00:926</v>
      </c>
      <c r="BB56" s="69" t="str">
        <f t="shared" si="27"/>
        <v>-</v>
      </c>
      <c r="BC56" s="69" t="str">
        <f t="shared" si="28"/>
        <v>2:00:926</v>
      </c>
      <c r="BD56" s="70">
        <f t="shared" si="29"/>
        <v>1.238919739</v>
      </c>
      <c r="BE56" s="70">
        <f t="shared" si="30"/>
        <v>1.238919739</v>
      </c>
      <c r="BF56" s="147">
        <f t="shared" si="31"/>
        <v>128005</v>
      </c>
      <c r="BG56" s="147">
        <f t="shared" si="32"/>
        <v>120926</v>
      </c>
      <c r="BH56" s="1">
        <f t="shared" si="33"/>
        <v>120926</v>
      </c>
      <c r="BI56" s="1">
        <f t="shared" si="34"/>
        <v>12092640</v>
      </c>
      <c r="BJ56" s="1">
        <f t="shared" si="35"/>
        <v>300012092640</v>
      </c>
      <c r="BK56" s="1">
        <f t="shared" si="36"/>
        <v>120926</v>
      </c>
      <c r="BL56" s="1">
        <f t="shared" si="37"/>
        <v>41</v>
      </c>
      <c r="BM56" s="1" t="str">
        <f t="shared" si="38"/>
        <v>総合15</v>
      </c>
      <c r="BN56" s="1">
        <f t="shared" si="39"/>
        <v>8</v>
      </c>
      <c r="BO56" s="1" t="str">
        <f t="shared" si="40"/>
        <v>C18</v>
      </c>
      <c r="BP56" s="1" t="str">
        <f t="shared" si="41"/>
        <v>-</v>
      </c>
      <c r="BQ56" s="1" t="str">
        <f t="shared" si="42"/>
        <v>セパハン-</v>
      </c>
      <c r="BR56" s="1" t="str">
        <f t="shared" si="43"/>
        <v>-</v>
      </c>
      <c r="BS56" s="1" t="str">
        <f t="shared" si="44"/>
        <v>ミニ-</v>
      </c>
      <c r="BT56" s="1"/>
      <c r="BU56" s="1"/>
      <c r="BV56" s="1"/>
      <c r="BW56" s="1"/>
      <c r="BX56" s="1"/>
    </row>
    <row r="57">
      <c r="A57" s="1"/>
      <c r="B57" s="148" t="str">
        <f t="array" ref="B57">IFERROR(INDEX('DB(読み込みシート※編集厳禁)'!$A$3:$AH$501,MATCH($C57,'DB(読み込みシート※編集厳禁)'!$B$3:$B$501,0),MATCH(B$14,'DB(読み込みシート※編集厳禁)'!$A$2:$AH$2,0)),"")</f>
        <v>C1</v>
      </c>
      <c r="C57" s="149">
        <v>41.0</v>
      </c>
      <c r="D57" s="169" t="str">
        <f t="array" ref="D57">IFERROR(INDEX('DB(読み込みシート※編集厳禁)'!$A$3:$AH$501,MATCH($C57,'DB(読み込みシート※編集厳禁)'!$B$3:$B$501,0),MATCH(D$14,'DB(読み込みシート※編集厳禁)'!$A$2:$AH$2,0)),"")</f>
        <v>たけし</v>
      </c>
      <c r="E57" s="170" t="str">
        <f t="array" ref="E57">IFERROR(INDEX('DB(読み込みシート※編集厳禁)'!$A$3:$AH$501,MATCH($C57,'DB(読み込みシート※編集厳禁)'!$B$3:$B$501,0),MATCH(E$14,'DB(読み込みシート※編集厳禁)'!$A$2:$AH$2,0)),"")</f>
        <v>YZ250</v>
      </c>
      <c r="F57" s="171" t="str">
        <f t="array" ref="F57">IFERROR(INDEX('DB(読み込みシート※編集厳禁)'!$A$3:$AH$501,MATCH($C57,'DB(読み込みシート※編集厳禁)'!$B$3:$B$501,0),MATCH(F$14,'DB(読み込みシート※編集厳禁)'!$A$2:$AH$2,0)),"")</f>
        <v>青/ピンク</v>
      </c>
      <c r="G57" s="133" t="str">
        <f t="shared" si="8"/>
        <v>1:45:500</v>
      </c>
      <c r="H57" s="152" t="str">
        <f t="shared" si="9"/>
        <v>1:45:500</v>
      </c>
      <c r="I57" s="135">
        <v>145500.0</v>
      </c>
      <c r="J57" s="166"/>
      <c r="K57" s="137" t="s">
        <v>15</v>
      </c>
      <c r="L57" s="138" t="str">
        <f t="shared" si="10"/>
        <v>1</v>
      </c>
      <c r="M57" s="139" t="str">
        <f t="shared" si="11"/>
        <v>45</v>
      </c>
      <c r="N57" s="140" t="str">
        <f t="shared" si="12"/>
        <v>500</v>
      </c>
      <c r="O57" s="141" t="str">
        <f t="shared" si="13"/>
        <v>9:99:999</v>
      </c>
      <c r="P57" s="162" t="str">
        <f t="shared" si="14"/>
        <v>9:99:999</v>
      </c>
      <c r="Q57" s="148" t="str">
        <f t="array" ref="Q57">IFERROR(INDEX('DB(読み込みシート※編集厳禁)'!$A$3:$AH$501,MATCH($C57,'DB(読み込みシート※編集厳禁)'!$B$3:$B$501,0),MATCH(Q$14,'DB(読み込みシート※編集厳禁)'!$A$2:$AH$2,0)),"")</f>
        <v>C1</v>
      </c>
      <c r="R57" s="149">
        <v>41.0</v>
      </c>
      <c r="S57" s="169" t="str">
        <f t="array" ref="S57">IFERROR(INDEX('DB(読み込みシート※編集厳禁)'!$A$3:$AH$501,MATCH($C57,'DB(読み込みシート※編集厳禁)'!$B$3:$B$501,0),MATCH(S$14,'DB(読み込みシート※編集厳禁)'!$A$2:$AH$2,0)),"")</f>
        <v>たけし</v>
      </c>
      <c r="T57" s="170" t="str">
        <f t="array" ref="T57">IFERROR(INDEX('DB(読み込みシート※編集厳禁)'!$A$3:$AH$501,MATCH($C57,'DB(読み込みシート※編集厳禁)'!$B$3:$B$501,0),MATCH(T$14,'DB(読み込みシート※編集厳禁)'!$A$2:$AH$2,0)),"")</f>
        <v>YZ250</v>
      </c>
      <c r="U57" s="135">
        <v>158556.0</v>
      </c>
      <c r="V57" s="166"/>
      <c r="W57" s="137" t="s">
        <v>9</v>
      </c>
      <c r="X57" s="138" t="str">
        <f t="shared" si="15"/>
        <v>1</v>
      </c>
      <c r="Y57" s="139" t="str">
        <f t="shared" si="16"/>
        <v>58</v>
      </c>
      <c r="Z57" s="144" t="str">
        <f t="shared" si="17"/>
        <v>556</v>
      </c>
      <c r="AA57" s="1"/>
      <c r="AB57" s="6"/>
      <c r="AC57" s="6"/>
      <c r="AD57" s="6"/>
      <c r="AE57" s="6"/>
      <c r="AF57" s="6"/>
      <c r="AG57" s="6">
        <f t="shared" si="18"/>
        <v>140000</v>
      </c>
      <c r="AH57" s="6">
        <f t="shared" si="19"/>
        <v>142041</v>
      </c>
      <c r="AI57" s="6" t="str">
        <f t="shared" si="20"/>
        <v>C1-4</v>
      </c>
      <c r="AJ57" s="6"/>
      <c r="AK57" s="6" t="str">
        <f t="shared" si="21"/>
        <v/>
      </c>
      <c r="AL57" s="6"/>
      <c r="AM57" s="6"/>
      <c r="AN57" s="6"/>
      <c r="AO57" s="6"/>
      <c r="AP57" s="6"/>
      <c r="AQ57" s="7"/>
      <c r="AR57" s="69"/>
      <c r="AS57" s="69"/>
      <c r="AT57" s="39">
        <v>41.0</v>
      </c>
      <c r="AU57" s="69" t="str">
        <f t="array" ref="AU57">IFERROR(INDEX('DB(読み込みシート※編集厳禁)'!$A$3:$AH$501,MATCH($C57,'DB(読み込みシート※編集厳禁)'!$B$3:$B$501,0),MATCH(AU$16,'DB(読み込みシート※編集厳禁)'!$A$2:$AH$2,0)),"")</f>
        <v>いいえ</v>
      </c>
      <c r="AV57" s="69" t="str">
        <f t="array" ref="AV57">IFERROR(INDEX('DB(読み込みシート※編集厳禁)'!$A$3:$AH$501,MATCH($C57,'DB(読み込みシート※編集厳禁)'!$B$3:$B$501,0),MATCH(AV$16,'DB(読み込みシート※編集厳禁)'!$A$2:$AH$2,0)),"")</f>
        <v>いいえ</v>
      </c>
      <c r="AW57" s="69" t="str">
        <f t="shared" si="22"/>
        <v>1:45:500</v>
      </c>
      <c r="AX57" s="69" t="str">
        <f t="shared" si="23"/>
        <v>1:45:500</v>
      </c>
      <c r="AY57" s="69" t="str">
        <f t="shared" si="24"/>
        <v>-</v>
      </c>
      <c r="AZ57" s="69" t="str">
        <f t="shared" si="25"/>
        <v>9:99:999</v>
      </c>
      <c r="BA57" s="69" t="str">
        <f t="shared" si="26"/>
        <v>9:99:999</v>
      </c>
      <c r="BB57" s="69" t="str">
        <f t="shared" si="27"/>
        <v>MC</v>
      </c>
      <c r="BC57" s="69" t="str">
        <f t="shared" si="28"/>
        <v>1:45:500</v>
      </c>
      <c r="BD57" s="70">
        <f t="shared" si="29"/>
        <v>1.080876176</v>
      </c>
      <c r="BE57" s="70">
        <f t="shared" si="30"/>
        <v>1.080876176</v>
      </c>
      <c r="BF57" s="147">
        <f t="shared" si="31"/>
        <v>105500</v>
      </c>
      <c r="BG57" s="1">
        <f t="shared" si="32"/>
        <v>999999</v>
      </c>
      <c r="BH57" s="1">
        <f t="shared" si="33"/>
        <v>105500</v>
      </c>
      <c r="BI57" s="1">
        <f t="shared" si="34"/>
        <v>10550041</v>
      </c>
      <c r="BJ57" s="1">
        <f t="shared" si="35"/>
        <v>300010550041</v>
      </c>
      <c r="BK57" s="1">
        <f t="shared" si="36"/>
        <v>105500</v>
      </c>
      <c r="BL57" s="1">
        <f t="shared" si="37"/>
        <v>10</v>
      </c>
      <c r="BM57" s="1" t="str">
        <f t="shared" si="38"/>
        <v>総合11</v>
      </c>
      <c r="BN57" s="1">
        <f t="shared" si="39"/>
        <v>4</v>
      </c>
      <c r="BO57" s="1" t="str">
        <f t="shared" si="40"/>
        <v>C14</v>
      </c>
      <c r="BP57" s="1" t="str">
        <f t="shared" si="41"/>
        <v>-</v>
      </c>
      <c r="BQ57" s="1" t="str">
        <f t="shared" si="42"/>
        <v>セパハン-</v>
      </c>
      <c r="BR57" s="1" t="str">
        <f t="shared" si="43"/>
        <v>-</v>
      </c>
      <c r="BS57" s="1" t="str">
        <f t="shared" si="44"/>
        <v>ミニ-</v>
      </c>
      <c r="BT57" s="1"/>
      <c r="BU57" s="1"/>
      <c r="BV57" s="1"/>
      <c r="BW57" s="1"/>
      <c r="BX57" s="1"/>
    </row>
    <row r="58">
      <c r="A58" s="1"/>
      <c r="B58" s="148" t="str">
        <f t="array" ref="B58">IFERROR(INDEX('DB(読み込みシート※編集厳禁)'!$A$3:$AH$501,MATCH($C58,'DB(読み込みシート※編集厳禁)'!$B$3:$B$501,0),MATCH(B$14,'DB(読み込みシート※編集厳禁)'!$A$2:$AH$2,0)),"")</f>
        <v>C1</v>
      </c>
      <c r="C58" s="149">
        <v>42.0</v>
      </c>
      <c r="D58" s="169" t="str">
        <f t="array" ref="D58">IFERROR(INDEX('DB(読み込みシート※編集厳禁)'!$A$3:$AH$501,MATCH($C58,'DB(読み込みシート※編集厳禁)'!$B$3:$B$501,0),MATCH(D$14,'DB(読み込みシート※編集厳禁)'!$A$2:$AH$2,0)),"")</f>
        <v>kota</v>
      </c>
      <c r="E58" s="170" t="str">
        <f t="array" ref="E58">IFERROR(INDEX('DB(読み込みシート※編集厳禁)'!$A$3:$AH$501,MATCH($C58,'DB(読み込みシート※編集厳禁)'!$B$3:$B$501,0),MATCH(E$14,'DB(読み込みシート※編集厳禁)'!$A$2:$AH$2,0)),"")</f>
        <v>GROM</v>
      </c>
      <c r="F58" s="171" t="str">
        <f t="array" ref="F58">IFERROR(INDEX('DB(読み込みシート※編集厳禁)'!$A$3:$AH$501,MATCH($C58,'DB(読み込みシート※編集厳禁)'!$B$3:$B$501,0),MATCH(F$14,'DB(読み込みシート※編集厳禁)'!$A$2:$AH$2,0)),"")</f>
        <v>白/赤/黒</v>
      </c>
      <c r="G58" s="133" t="str">
        <f t="shared" si="8"/>
        <v>DNS</v>
      </c>
      <c r="H58" s="152" t="str">
        <f t="shared" si="9"/>
        <v>:00:000</v>
      </c>
      <c r="I58" s="135"/>
      <c r="J58" s="166"/>
      <c r="K58" s="137" t="s">
        <v>15</v>
      </c>
      <c r="L58" s="138" t="str">
        <f t="shared" si="10"/>
        <v/>
      </c>
      <c r="M58" s="139" t="str">
        <f t="shared" si="11"/>
        <v/>
      </c>
      <c r="N58" s="140" t="str">
        <f t="shared" si="12"/>
        <v/>
      </c>
      <c r="O58" s="141" t="str">
        <f t="shared" si="13"/>
        <v>DNS</v>
      </c>
      <c r="P58" s="162" t="str">
        <f t="shared" si="14"/>
        <v>:00:000</v>
      </c>
      <c r="Q58" s="148" t="str">
        <f t="array" ref="Q58">IFERROR(INDEX('DB(読み込みシート※編集厳禁)'!$A$3:$AH$501,MATCH($C58,'DB(読み込みシート※編集厳禁)'!$B$3:$B$501,0),MATCH(Q$14,'DB(読み込みシート※編集厳禁)'!$A$2:$AH$2,0)),"")</f>
        <v>C1</v>
      </c>
      <c r="R58" s="149">
        <v>42.0</v>
      </c>
      <c r="S58" s="169" t="str">
        <f t="array" ref="S58">IFERROR(INDEX('DB(読み込みシート※編集厳禁)'!$A$3:$AH$501,MATCH($C58,'DB(読み込みシート※編集厳禁)'!$B$3:$B$501,0),MATCH(S$14,'DB(読み込みシート※編集厳禁)'!$A$2:$AH$2,0)),"")</f>
        <v>kota</v>
      </c>
      <c r="T58" s="170" t="str">
        <f t="array" ref="T58">IFERROR(INDEX('DB(読み込みシート※編集厳禁)'!$A$3:$AH$501,MATCH($C58,'DB(読み込みシート※編集厳禁)'!$B$3:$B$501,0),MATCH(T$14,'DB(読み込みシート※編集厳禁)'!$A$2:$AH$2,0)),"")</f>
        <v>GROM</v>
      </c>
      <c r="U58" s="135"/>
      <c r="V58" s="166"/>
      <c r="W58" s="137" t="s">
        <v>15</v>
      </c>
      <c r="X58" s="138" t="str">
        <f t="shared" si="15"/>
        <v/>
      </c>
      <c r="Y58" s="139" t="str">
        <f t="shared" si="16"/>
        <v/>
      </c>
      <c r="Z58" s="144" t="str">
        <f t="shared" si="17"/>
        <v/>
      </c>
      <c r="AA58" s="1"/>
      <c r="AB58" s="6"/>
      <c r="AC58" s="6"/>
      <c r="AD58" s="6"/>
      <c r="AE58" s="6"/>
      <c r="AF58" s="6"/>
      <c r="AG58" s="6" t="str">
        <f t="shared" si="18"/>
        <v/>
      </c>
      <c r="AH58" s="6" t="str">
        <f t="shared" si="19"/>
        <v/>
      </c>
      <c r="AI58" s="6" t="str">
        <f t="shared" si="20"/>
        <v>C1--</v>
      </c>
      <c r="AJ58" s="6"/>
      <c r="AK58" s="6" t="str">
        <f t="shared" si="21"/>
        <v/>
      </c>
      <c r="AL58" s="6"/>
      <c r="AM58" s="6"/>
      <c r="AN58" s="6"/>
      <c r="AO58" s="6"/>
      <c r="AP58" s="6"/>
      <c r="AQ58" s="7"/>
      <c r="AR58" s="69"/>
      <c r="AS58" s="69"/>
      <c r="AT58" s="39">
        <v>42.0</v>
      </c>
      <c r="AU58" s="69" t="str">
        <f t="array" ref="AU58">IFERROR(INDEX('DB(読み込みシート※編集厳禁)'!$A$3:$AH$501,MATCH($C58,'DB(読み込みシート※編集厳禁)'!$B$3:$B$501,0),MATCH(AU$16,'DB(読み込みシート※編集厳禁)'!$A$2:$AH$2,0)),"")</f>
        <v>いいえ</v>
      </c>
      <c r="AV58" s="69" t="str">
        <f t="array" ref="AV58">IFERROR(INDEX('DB(読み込みシート※編集厳禁)'!$A$3:$AH$501,MATCH($C58,'DB(読み込みシート※編集厳禁)'!$B$3:$B$501,0),MATCH(AV$16,'DB(読み込みシート※編集厳禁)'!$A$2:$AH$2,0)),"")</f>
        <v>いいえ</v>
      </c>
      <c r="AW58" s="69" t="str">
        <f t="shared" si="22"/>
        <v>DNS</v>
      </c>
      <c r="AX58" s="69" t="str">
        <f t="shared" si="23"/>
        <v>DNS</v>
      </c>
      <c r="AY58" s="69" t="str">
        <f t="shared" si="24"/>
        <v>-</v>
      </c>
      <c r="AZ58" s="69" t="str">
        <f t="shared" si="25"/>
        <v>DNS</v>
      </c>
      <c r="BA58" s="69" t="str">
        <f t="shared" si="26"/>
        <v>DNS</v>
      </c>
      <c r="BB58" s="69" t="str">
        <f t="shared" si="27"/>
        <v>-</v>
      </c>
      <c r="BC58" s="69" t="str">
        <f t="shared" si="28"/>
        <v>DNS</v>
      </c>
      <c r="BD58" s="70" t="str">
        <f t="shared" si="29"/>
        <v>-</v>
      </c>
      <c r="BE58" s="70" t="str">
        <f t="shared" si="30"/>
        <v>-</v>
      </c>
      <c r="BF58" s="1">
        <f t="shared" si="31"/>
        <v>999999</v>
      </c>
      <c r="BG58" s="1">
        <f t="shared" si="32"/>
        <v>999999</v>
      </c>
      <c r="BH58" s="1">
        <f t="shared" si="33"/>
        <v>999999</v>
      </c>
      <c r="BI58" s="1">
        <f t="shared" si="34"/>
        <v>10000000042</v>
      </c>
      <c r="BJ58" s="1">
        <f t="shared" si="35"/>
        <v>310000000042</v>
      </c>
      <c r="BK58" s="1">
        <f t="shared" si="36"/>
        <v>100000000</v>
      </c>
      <c r="BL58" s="1" t="str">
        <f t="shared" si="37"/>
        <v>-</v>
      </c>
      <c r="BM58" s="1" t="str">
        <f t="shared" si="38"/>
        <v>総合17</v>
      </c>
      <c r="BN58" s="1" t="str">
        <f t="shared" si="39"/>
        <v>-</v>
      </c>
      <c r="BO58" s="1" t="str">
        <f t="shared" si="40"/>
        <v>C110</v>
      </c>
      <c r="BP58" s="1" t="str">
        <f t="shared" si="41"/>
        <v>-</v>
      </c>
      <c r="BQ58" s="1" t="str">
        <f t="shared" si="42"/>
        <v>セパハン-</v>
      </c>
      <c r="BR58" s="1" t="str">
        <f t="shared" si="43"/>
        <v>-</v>
      </c>
      <c r="BS58" s="1" t="str">
        <f t="shared" si="44"/>
        <v>ミニ-</v>
      </c>
      <c r="BT58" s="1"/>
      <c r="BU58" s="1"/>
      <c r="BV58" s="1"/>
      <c r="BW58" s="1"/>
      <c r="BX58" s="1"/>
    </row>
    <row r="59">
      <c r="A59" s="1"/>
      <c r="B59" s="148" t="str">
        <f t="array" ref="B59">IFERROR(INDEX('DB(読み込みシート※編集厳禁)'!$A$3:$AH$501,MATCH($C59,'DB(読み込みシート※編集厳禁)'!$B$3:$B$501,0),MATCH(B$14,'DB(読み込みシート※編集厳禁)'!$A$2:$AH$2,0)),"")</f>
        <v>C1</v>
      </c>
      <c r="C59" s="149">
        <v>43.0</v>
      </c>
      <c r="D59" s="169" t="str">
        <f t="array" ref="D59">IFERROR(INDEX('DB(読み込みシート※編集厳禁)'!$A$3:$AH$501,MATCH($C59,'DB(読み込みシート※編集厳禁)'!$B$3:$B$501,0),MATCH(D$14,'DB(読み込みシート※編集厳禁)'!$A$2:$AH$2,0)),"")</f>
        <v>とこ山とこ夫</v>
      </c>
      <c r="E59" s="170" t="str">
        <f t="array" ref="E59">IFERROR(INDEX('DB(読み込みシート※編集厳禁)'!$A$3:$AH$501,MATCH($C59,'DB(読み込みシート※編集厳禁)'!$B$3:$B$501,0),MATCH(E$14,'DB(読み込みシート※編集厳禁)'!$A$2:$AH$2,0)),"")</f>
        <v>Z400</v>
      </c>
      <c r="F59" s="171" t="str">
        <f t="array" ref="F59">IFERROR(INDEX('DB(読み込みシート※編集厳禁)'!$A$3:$AH$501,MATCH($C59,'DB(読み込みシート※編集厳禁)'!$B$3:$B$501,0),MATCH(F$14,'DB(読み込みシート※編集厳禁)'!$A$2:$AH$2,0)),"")</f>
        <v>黒</v>
      </c>
      <c r="G59" s="133" t="str">
        <f t="shared" si="8"/>
        <v>1:50:384</v>
      </c>
      <c r="H59" s="152" t="str">
        <f t="shared" si="9"/>
        <v>1:50:384</v>
      </c>
      <c r="I59" s="135">
        <v>150384.0</v>
      </c>
      <c r="J59" s="166"/>
      <c r="K59" s="137" t="s">
        <v>15</v>
      </c>
      <c r="L59" s="138" t="str">
        <f t="shared" si="10"/>
        <v>1</v>
      </c>
      <c r="M59" s="139" t="str">
        <f t="shared" si="11"/>
        <v>50</v>
      </c>
      <c r="N59" s="140" t="str">
        <f t="shared" si="12"/>
        <v>384</v>
      </c>
      <c r="O59" s="141" t="str">
        <f t="shared" si="13"/>
        <v>2:29:539</v>
      </c>
      <c r="P59" s="162" t="str">
        <f t="shared" si="14"/>
        <v>2:29:539</v>
      </c>
      <c r="Q59" s="148" t="str">
        <f t="array" ref="Q59">IFERROR(INDEX('DB(読み込みシート※編集厳禁)'!$A$3:$AH$501,MATCH($C59,'DB(読み込みシート※編集厳禁)'!$B$3:$B$501,0),MATCH(Q$14,'DB(読み込みシート※編集厳禁)'!$A$2:$AH$2,0)),"")</f>
        <v>C1</v>
      </c>
      <c r="R59" s="149">
        <v>43.0</v>
      </c>
      <c r="S59" s="169" t="str">
        <f t="array" ref="S59">IFERROR(INDEX('DB(読み込みシート※編集厳禁)'!$A$3:$AH$501,MATCH($C59,'DB(読み込みシート※編集厳禁)'!$B$3:$B$501,0),MATCH(S$14,'DB(読み込みシート※編集厳禁)'!$A$2:$AH$2,0)),"")</f>
        <v>とこ山とこ夫</v>
      </c>
      <c r="T59" s="170" t="str">
        <f t="array" ref="T59">IFERROR(INDEX('DB(読み込みシート※編集厳禁)'!$A$3:$AH$501,MATCH($C59,'DB(読み込みシート※編集厳禁)'!$B$3:$B$501,0),MATCH(T$14,'DB(読み込みシート※編集厳禁)'!$A$2:$AH$2,0)),"")</f>
        <v>Z400</v>
      </c>
      <c r="U59" s="135">
        <v>229539.0</v>
      </c>
      <c r="V59" s="166"/>
      <c r="W59" s="137" t="s">
        <v>15</v>
      </c>
      <c r="X59" s="138" t="str">
        <f t="shared" si="15"/>
        <v>2</v>
      </c>
      <c r="Y59" s="139" t="str">
        <f t="shared" si="16"/>
        <v>29</v>
      </c>
      <c r="Z59" s="144" t="str">
        <f t="shared" si="17"/>
        <v>539</v>
      </c>
      <c r="AA59" s="1"/>
      <c r="AB59" s="6"/>
      <c r="AC59" s="6"/>
      <c r="AD59" s="6"/>
      <c r="AE59" s="6"/>
      <c r="AF59" s="6"/>
      <c r="AG59" s="6">
        <f t="shared" si="18"/>
        <v>140000</v>
      </c>
      <c r="AH59" s="6">
        <f t="shared" si="19"/>
        <v>142043</v>
      </c>
      <c r="AI59" s="6" t="str">
        <f t="shared" si="20"/>
        <v>C1-7</v>
      </c>
      <c r="AJ59" s="6"/>
      <c r="AK59" s="6" t="str">
        <f t="shared" si="21"/>
        <v/>
      </c>
      <c r="AL59" s="6"/>
      <c r="AM59" s="6"/>
      <c r="AN59" s="6"/>
      <c r="AO59" s="6"/>
      <c r="AP59" s="6"/>
      <c r="AQ59" s="7"/>
      <c r="AR59" s="69"/>
      <c r="AS59" s="69"/>
      <c r="AT59" s="39">
        <v>43.0</v>
      </c>
      <c r="AU59" s="69" t="str">
        <f t="array" ref="AU59">IFERROR(INDEX('DB(読み込みシート※編集厳禁)'!$A$3:$AH$501,MATCH($C59,'DB(読み込みシート※編集厳禁)'!$B$3:$B$501,0),MATCH(AU$16,'DB(読み込みシート※編集厳禁)'!$A$2:$AH$2,0)),"")</f>
        <v>いいえ</v>
      </c>
      <c r="AV59" s="69" t="str">
        <f t="array" ref="AV59">IFERROR(INDEX('DB(読み込みシート※編集厳禁)'!$A$3:$AH$501,MATCH($C59,'DB(読み込みシート※編集厳禁)'!$B$3:$B$501,0),MATCH(AV$16,'DB(読み込みシート※編集厳禁)'!$A$2:$AH$2,0)),"")</f>
        <v>いいえ</v>
      </c>
      <c r="AW59" s="69" t="str">
        <f t="shared" si="22"/>
        <v>1:50:384</v>
      </c>
      <c r="AX59" s="69" t="str">
        <f t="shared" si="23"/>
        <v>1:50:384</v>
      </c>
      <c r="AY59" s="69" t="str">
        <f t="shared" si="24"/>
        <v>-</v>
      </c>
      <c r="AZ59" s="69" t="str">
        <f t="shared" si="25"/>
        <v>2:29:539</v>
      </c>
      <c r="BA59" s="69" t="str">
        <f t="shared" si="26"/>
        <v>2:29:539</v>
      </c>
      <c r="BB59" s="69" t="str">
        <f t="shared" si="27"/>
        <v>-</v>
      </c>
      <c r="BC59" s="69" t="str">
        <f t="shared" si="28"/>
        <v>1:50:384</v>
      </c>
      <c r="BD59" s="70">
        <f t="shared" si="29"/>
        <v>1.130914083</v>
      </c>
      <c r="BE59" s="70">
        <f t="shared" si="30"/>
        <v>1.130914083</v>
      </c>
      <c r="BF59" s="147">
        <f t="shared" si="31"/>
        <v>110384</v>
      </c>
      <c r="BG59" s="147">
        <f t="shared" si="32"/>
        <v>149539</v>
      </c>
      <c r="BH59" s="1">
        <f t="shared" si="33"/>
        <v>110384</v>
      </c>
      <c r="BI59" s="1">
        <f t="shared" si="34"/>
        <v>11038443</v>
      </c>
      <c r="BJ59" s="1">
        <f t="shared" si="35"/>
        <v>300011038443</v>
      </c>
      <c r="BK59" s="1">
        <f t="shared" si="36"/>
        <v>110384</v>
      </c>
      <c r="BL59" s="1">
        <f t="shared" si="37"/>
        <v>20</v>
      </c>
      <c r="BM59" s="1" t="str">
        <f t="shared" si="38"/>
        <v>総合14</v>
      </c>
      <c r="BN59" s="1">
        <f t="shared" si="39"/>
        <v>7</v>
      </c>
      <c r="BO59" s="1" t="str">
        <f t="shared" si="40"/>
        <v>C17</v>
      </c>
      <c r="BP59" s="1" t="str">
        <f t="shared" si="41"/>
        <v>-</v>
      </c>
      <c r="BQ59" s="1" t="str">
        <f t="shared" si="42"/>
        <v>セパハン-</v>
      </c>
      <c r="BR59" s="1" t="str">
        <f t="shared" si="43"/>
        <v>-</v>
      </c>
      <c r="BS59" s="1" t="str">
        <f t="shared" si="44"/>
        <v>ミニ-</v>
      </c>
      <c r="BT59" s="1"/>
      <c r="BU59" s="1"/>
      <c r="BV59" s="1"/>
      <c r="BW59" s="1"/>
      <c r="BX59" s="1"/>
    </row>
    <row r="60">
      <c r="A60" s="1"/>
      <c r="B60" s="148" t="str">
        <f t="array" ref="B60">IFERROR(INDEX('DB(読み込みシート※編集厳禁)'!$A$3:$AH$501,MATCH($C60,'DB(読み込みシート※編集厳禁)'!$B$3:$B$501,0),MATCH(B$14,'DB(読み込みシート※編集厳禁)'!$A$2:$AH$2,0)),"")</f>
        <v>C1</v>
      </c>
      <c r="C60" s="149">
        <v>44.0</v>
      </c>
      <c r="D60" s="169" t="str">
        <f t="array" ref="D60">IFERROR(INDEX('DB(読み込みシート※編集厳禁)'!$A$3:$AH$501,MATCH($C60,'DB(読み込みシート※編集厳禁)'!$B$3:$B$501,0),MATCH(D$14,'DB(読み込みシート※編集厳禁)'!$A$2:$AH$2,0)),"")</f>
        <v>TOKICO</v>
      </c>
      <c r="E60" s="170" t="str">
        <f t="array" ref="E60">IFERROR(INDEX('DB(読み込みシート※編集厳禁)'!$A$3:$AH$501,MATCH($C60,'DB(読み込みシート※編集厳禁)'!$B$3:$B$501,0),MATCH(E$14,'DB(読み込みシート※編集厳禁)'!$A$2:$AH$2,0)),"")</f>
        <v>GSX-R1000</v>
      </c>
      <c r="F60" s="171" t="str">
        <f t="array" ref="F60">IFERROR(INDEX('DB(読み込みシート※編集厳禁)'!$A$3:$AH$501,MATCH($C60,'DB(読み込みシート※編集厳禁)'!$B$3:$B$501,0),MATCH(F$14,'DB(読み込みシート※編集厳禁)'!$A$2:$AH$2,0)),"")</f>
        <v>白/青</v>
      </c>
      <c r="G60" s="133" t="str">
        <f t="shared" si="8"/>
        <v>1:51:173</v>
      </c>
      <c r="H60" s="152" t="str">
        <f t="shared" si="9"/>
        <v>1:51:173</v>
      </c>
      <c r="I60" s="135">
        <v>151173.0</v>
      </c>
      <c r="J60" s="166"/>
      <c r="K60" s="137" t="s">
        <v>15</v>
      </c>
      <c r="L60" s="138" t="str">
        <f t="shared" si="10"/>
        <v>1</v>
      </c>
      <c r="M60" s="139" t="str">
        <f t="shared" si="11"/>
        <v>51</v>
      </c>
      <c r="N60" s="140" t="str">
        <f t="shared" si="12"/>
        <v>173</v>
      </c>
      <c r="O60" s="141" t="str">
        <f t="shared" si="13"/>
        <v>1:42:366</v>
      </c>
      <c r="P60" s="162" t="str">
        <f t="shared" si="14"/>
        <v>1:42:366</v>
      </c>
      <c r="Q60" s="148" t="str">
        <f t="array" ref="Q60">IFERROR(INDEX('DB(読み込みシート※編集厳禁)'!$A$3:$AH$501,MATCH($C60,'DB(読み込みシート※編集厳禁)'!$B$3:$B$501,0),MATCH(Q$14,'DB(読み込みシート※編集厳禁)'!$A$2:$AH$2,0)),"")</f>
        <v>C1</v>
      </c>
      <c r="R60" s="149">
        <v>44.0</v>
      </c>
      <c r="S60" s="169" t="str">
        <f t="array" ref="S60">IFERROR(INDEX('DB(読み込みシート※編集厳禁)'!$A$3:$AH$501,MATCH($C60,'DB(読み込みシート※編集厳禁)'!$B$3:$B$501,0),MATCH(S$14,'DB(読み込みシート※編集厳禁)'!$A$2:$AH$2,0)),"")</f>
        <v>TOKICO</v>
      </c>
      <c r="T60" s="170" t="str">
        <f t="array" ref="T60">IFERROR(INDEX('DB(読み込みシート※編集厳禁)'!$A$3:$AH$501,MATCH($C60,'DB(読み込みシート※編集厳禁)'!$B$3:$B$501,0),MATCH(T$14,'DB(読み込みシート※編集厳禁)'!$A$2:$AH$2,0)),"")</f>
        <v>GSX-R1000</v>
      </c>
      <c r="U60" s="135">
        <v>142366.0</v>
      </c>
      <c r="V60" s="166"/>
      <c r="W60" s="137" t="s">
        <v>15</v>
      </c>
      <c r="X60" s="138" t="str">
        <f t="shared" si="15"/>
        <v>1</v>
      </c>
      <c r="Y60" s="139" t="str">
        <f t="shared" si="16"/>
        <v>42</v>
      </c>
      <c r="Z60" s="144" t="str">
        <f t="shared" si="17"/>
        <v>366</v>
      </c>
      <c r="AA60" s="1"/>
      <c r="AB60" s="6"/>
      <c r="AC60" s="6"/>
      <c r="AD60" s="6"/>
      <c r="AE60" s="6"/>
      <c r="AF60" s="6"/>
      <c r="AG60" s="6">
        <f t="shared" si="18"/>
        <v>140000</v>
      </c>
      <c r="AH60" s="6">
        <f t="shared" si="19"/>
        <v>142044</v>
      </c>
      <c r="AI60" s="6" t="str">
        <f t="shared" si="20"/>
        <v>C1-1</v>
      </c>
      <c r="AJ60" s="6"/>
      <c r="AK60" s="6" t="str">
        <f t="shared" si="21"/>
        <v/>
      </c>
      <c r="AL60" s="6"/>
      <c r="AM60" s="6"/>
      <c r="AN60" s="6"/>
      <c r="AO60" s="6"/>
      <c r="AP60" s="6"/>
      <c r="AQ60" s="7"/>
      <c r="AR60" s="69"/>
      <c r="AS60" s="69"/>
      <c r="AT60" s="39">
        <v>44.0</v>
      </c>
      <c r="AU60" s="69" t="str">
        <f t="array" ref="AU60">IFERROR(INDEX('DB(読み込みシート※編集厳禁)'!$A$3:$AH$501,MATCH($C60,'DB(読み込みシート※編集厳禁)'!$B$3:$B$501,0),MATCH(AU$16,'DB(読み込みシート※編集厳禁)'!$A$2:$AH$2,0)),"")</f>
        <v>いいえ</v>
      </c>
      <c r="AV60" s="69" t="str">
        <f t="array" ref="AV60">IFERROR(INDEX('DB(読み込みシート※編集厳禁)'!$A$3:$AH$501,MATCH($C60,'DB(読み込みシート※編集厳禁)'!$B$3:$B$501,0),MATCH(AV$16,'DB(読み込みシート※編集厳禁)'!$A$2:$AH$2,0)),"")</f>
        <v>いいえ</v>
      </c>
      <c r="AW60" s="69" t="str">
        <f t="shared" si="22"/>
        <v>1:51:173</v>
      </c>
      <c r="AX60" s="69" t="str">
        <f t="shared" si="23"/>
        <v>1:51:173</v>
      </c>
      <c r="AY60" s="69" t="str">
        <f t="shared" si="24"/>
        <v>-</v>
      </c>
      <c r="AZ60" s="69" t="str">
        <f t="shared" si="25"/>
        <v>1:42:366</v>
      </c>
      <c r="BA60" s="69" t="str">
        <f t="shared" si="26"/>
        <v>1:42:366</v>
      </c>
      <c r="BB60" s="69" t="str">
        <f t="shared" si="27"/>
        <v>-</v>
      </c>
      <c r="BC60" s="69" t="str">
        <f t="shared" si="28"/>
        <v>1:42:366</v>
      </c>
      <c r="BD60" s="70">
        <f t="shared" si="29"/>
        <v>1.048767494</v>
      </c>
      <c r="BE60" s="70">
        <f t="shared" si="30"/>
        <v>1.048767494</v>
      </c>
      <c r="BF60" s="147">
        <f t="shared" si="31"/>
        <v>111173</v>
      </c>
      <c r="BG60" s="147">
        <f t="shared" si="32"/>
        <v>102366</v>
      </c>
      <c r="BH60" s="1">
        <f t="shared" si="33"/>
        <v>102366</v>
      </c>
      <c r="BI60" s="1">
        <f t="shared" si="34"/>
        <v>10236644</v>
      </c>
      <c r="BJ60" s="1">
        <f t="shared" si="35"/>
        <v>300010236644</v>
      </c>
      <c r="BK60" s="1">
        <f t="shared" si="36"/>
        <v>102366</v>
      </c>
      <c r="BL60" s="1">
        <f t="shared" si="37"/>
        <v>5</v>
      </c>
      <c r="BM60" s="1" t="str">
        <f t="shared" si="38"/>
        <v>総合8</v>
      </c>
      <c r="BN60" s="1">
        <f t="shared" si="39"/>
        <v>1</v>
      </c>
      <c r="BO60" s="1" t="str">
        <f t="shared" si="40"/>
        <v>C11</v>
      </c>
      <c r="BP60" s="1" t="str">
        <f t="shared" si="41"/>
        <v>-</v>
      </c>
      <c r="BQ60" s="1" t="str">
        <f t="shared" si="42"/>
        <v>セパハン-</v>
      </c>
      <c r="BR60" s="1" t="str">
        <f t="shared" si="43"/>
        <v>-</v>
      </c>
      <c r="BS60" s="1" t="str">
        <f t="shared" si="44"/>
        <v>ミニ-</v>
      </c>
      <c r="BT60" s="1"/>
      <c r="BU60" s="1"/>
      <c r="BV60" s="1"/>
      <c r="BW60" s="1"/>
      <c r="BX60" s="1"/>
    </row>
    <row r="61">
      <c r="A61" s="1"/>
      <c r="B61" s="148" t="str">
        <f t="array" ref="B61">IFERROR(INDEX('DB(読み込みシート※編集厳禁)'!$A$3:$AH$501,MATCH($C61,'DB(読み込みシート※編集厳禁)'!$B$3:$B$501,0),MATCH(B$14,'DB(読み込みシート※編集厳禁)'!$A$2:$AH$2,0)),"")</f>
        <v>C1</v>
      </c>
      <c r="C61" s="149">
        <v>45.0</v>
      </c>
      <c r="D61" s="169" t="str">
        <f t="array" ref="D61">IFERROR(INDEX('DB(読み込みシート※編集厳禁)'!$A$3:$AH$501,MATCH($C61,'DB(読み込みシート※編集厳禁)'!$B$3:$B$501,0),MATCH(D$14,'DB(読み込みシート※編集厳禁)'!$A$2:$AH$2,0)),"")</f>
        <v>まろ</v>
      </c>
      <c r="E61" s="170" t="str">
        <f t="array" ref="E61">IFERROR(INDEX('DB(読み込みシート※編集厳禁)'!$A$3:$AH$501,MATCH($C61,'DB(読み込みシート※編集厳禁)'!$B$3:$B$501,0),MATCH(E$14,'DB(読み込みシート※編集厳禁)'!$A$2:$AH$2,0)),"")</f>
        <v>MSX125改</v>
      </c>
      <c r="F61" s="171" t="str">
        <f t="array" ref="F61">IFERROR(INDEX('DB(読み込みシート※編集厳禁)'!$A$3:$AH$501,MATCH($C61,'DB(読み込みシート※編集厳禁)'!$B$3:$B$501,0),MATCH(F$14,'DB(読み込みシート※編集厳禁)'!$A$2:$AH$2,0)),"")</f>
        <v>青白</v>
      </c>
      <c r="G61" s="133" t="str">
        <f t="shared" si="8"/>
        <v>1:46:217</v>
      </c>
      <c r="H61" s="152" t="str">
        <f t="shared" si="9"/>
        <v>1:46:217</v>
      </c>
      <c r="I61" s="135">
        <v>146217.0</v>
      </c>
      <c r="J61" s="166"/>
      <c r="K61" s="137" t="s">
        <v>15</v>
      </c>
      <c r="L61" s="138" t="str">
        <f t="shared" si="10"/>
        <v>1</v>
      </c>
      <c r="M61" s="139" t="str">
        <f t="shared" si="11"/>
        <v>46</v>
      </c>
      <c r="N61" s="140" t="str">
        <f t="shared" si="12"/>
        <v>217</v>
      </c>
      <c r="O61" s="141" t="str">
        <f t="shared" si="13"/>
        <v>1:46:801</v>
      </c>
      <c r="P61" s="162" t="str">
        <f t="shared" si="14"/>
        <v>1:46:801</v>
      </c>
      <c r="Q61" s="148" t="str">
        <f t="array" ref="Q61">IFERROR(INDEX('DB(読み込みシート※編集厳禁)'!$A$3:$AH$501,MATCH($C61,'DB(読み込みシート※編集厳禁)'!$B$3:$B$501,0),MATCH(Q$14,'DB(読み込みシート※編集厳禁)'!$A$2:$AH$2,0)),"")</f>
        <v>C1</v>
      </c>
      <c r="R61" s="149">
        <v>45.0</v>
      </c>
      <c r="S61" s="169" t="str">
        <f t="array" ref="S61">IFERROR(INDEX('DB(読み込みシート※編集厳禁)'!$A$3:$AH$501,MATCH($C61,'DB(読み込みシート※編集厳禁)'!$B$3:$B$501,0),MATCH(S$14,'DB(読み込みシート※編集厳禁)'!$A$2:$AH$2,0)),"")</f>
        <v>まろ</v>
      </c>
      <c r="T61" s="170" t="str">
        <f t="array" ref="T61">IFERROR(INDEX('DB(読み込みシート※編集厳禁)'!$A$3:$AH$501,MATCH($C61,'DB(読み込みシート※編集厳禁)'!$B$3:$B$501,0),MATCH(T$14,'DB(読み込みシート※編集厳禁)'!$A$2:$AH$2,0)),"")</f>
        <v>MSX125改</v>
      </c>
      <c r="U61" s="135">
        <v>146801.0</v>
      </c>
      <c r="V61" s="166"/>
      <c r="W61" s="137" t="s">
        <v>15</v>
      </c>
      <c r="X61" s="138" t="str">
        <f t="shared" si="15"/>
        <v>1</v>
      </c>
      <c r="Y61" s="139" t="str">
        <f t="shared" si="16"/>
        <v>46</v>
      </c>
      <c r="Z61" s="144" t="str">
        <f t="shared" si="17"/>
        <v>801</v>
      </c>
      <c r="AA61" s="1"/>
      <c r="AB61" s="6"/>
      <c r="AC61" s="6"/>
      <c r="AD61" s="6"/>
      <c r="AE61" s="6"/>
      <c r="AF61" s="6"/>
      <c r="AG61" s="6">
        <f t="shared" si="18"/>
        <v>140000</v>
      </c>
      <c r="AH61" s="6">
        <f t="shared" si="19"/>
        <v>142045</v>
      </c>
      <c r="AI61" s="6" t="str">
        <f t="shared" si="20"/>
        <v>C1-5</v>
      </c>
      <c r="AJ61" s="6"/>
      <c r="AK61" s="6" t="str">
        <f t="shared" si="21"/>
        <v/>
      </c>
      <c r="AL61" s="6"/>
      <c r="AM61" s="6"/>
      <c r="AN61" s="6"/>
      <c r="AO61" s="6"/>
      <c r="AP61" s="6"/>
      <c r="AQ61" s="7"/>
      <c r="AR61" s="69"/>
      <c r="AS61" s="69"/>
      <c r="AT61" s="39">
        <v>45.0</v>
      </c>
      <c r="AU61" s="69" t="str">
        <f t="array" ref="AU61">IFERROR(INDEX('DB(読み込みシート※編集厳禁)'!$A$3:$AH$501,MATCH($C61,'DB(読み込みシート※編集厳禁)'!$B$3:$B$501,0),MATCH(AU$16,'DB(読み込みシート※編集厳禁)'!$A$2:$AH$2,0)),"")</f>
        <v>いいえ</v>
      </c>
      <c r="AV61" s="69" t="str">
        <f t="array" ref="AV61">IFERROR(INDEX('DB(読み込みシート※編集厳禁)'!$A$3:$AH$501,MATCH($C61,'DB(読み込みシート※編集厳禁)'!$B$3:$B$501,0),MATCH(AV$16,'DB(読み込みシート※編集厳禁)'!$A$2:$AH$2,0)),"")</f>
        <v>いいえ</v>
      </c>
      <c r="AW61" s="69" t="str">
        <f t="shared" si="22"/>
        <v>1:46:217</v>
      </c>
      <c r="AX61" s="69" t="str">
        <f t="shared" si="23"/>
        <v>1:46:217</v>
      </c>
      <c r="AY61" s="69" t="str">
        <f t="shared" si="24"/>
        <v>-</v>
      </c>
      <c r="AZ61" s="69" t="str">
        <f t="shared" si="25"/>
        <v>1:46:801</v>
      </c>
      <c r="BA61" s="69" t="str">
        <f t="shared" si="26"/>
        <v>1:46:801</v>
      </c>
      <c r="BB61" s="69" t="str">
        <f t="shared" si="27"/>
        <v>-</v>
      </c>
      <c r="BC61" s="69" t="str">
        <f t="shared" si="28"/>
        <v>1:46:217</v>
      </c>
      <c r="BD61" s="70">
        <f t="shared" si="29"/>
        <v>1.088222036</v>
      </c>
      <c r="BE61" s="70">
        <f t="shared" si="30"/>
        <v>1.088222036</v>
      </c>
      <c r="BF61" s="147">
        <f t="shared" si="31"/>
        <v>106217</v>
      </c>
      <c r="BG61" s="147">
        <f t="shared" si="32"/>
        <v>106801</v>
      </c>
      <c r="BH61" s="1">
        <f t="shared" si="33"/>
        <v>106217</v>
      </c>
      <c r="BI61" s="1">
        <f t="shared" si="34"/>
        <v>10621745</v>
      </c>
      <c r="BJ61" s="1">
        <f t="shared" si="35"/>
        <v>300010621745</v>
      </c>
      <c r="BK61" s="1">
        <f t="shared" si="36"/>
        <v>106217</v>
      </c>
      <c r="BL61" s="1">
        <f t="shared" si="37"/>
        <v>11</v>
      </c>
      <c r="BM61" s="1" t="str">
        <f t="shared" si="38"/>
        <v>総合12</v>
      </c>
      <c r="BN61" s="1">
        <f t="shared" si="39"/>
        <v>5</v>
      </c>
      <c r="BO61" s="1" t="str">
        <f t="shared" si="40"/>
        <v>C15</v>
      </c>
      <c r="BP61" s="1" t="str">
        <f t="shared" si="41"/>
        <v>-</v>
      </c>
      <c r="BQ61" s="1" t="str">
        <f t="shared" si="42"/>
        <v>セパハン-</v>
      </c>
      <c r="BR61" s="1" t="str">
        <f t="shared" si="43"/>
        <v>-</v>
      </c>
      <c r="BS61" s="1" t="str">
        <f t="shared" si="44"/>
        <v>ミニ-</v>
      </c>
      <c r="BT61" s="1"/>
      <c r="BU61" s="1"/>
      <c r="BV61" s="1"/>
      <c r="BW61" s="1"/>
      <c r="BX61" s="1"/>
    </row>
    <row r="62">
      <c r="A62" s="1"/>
      <c r="B62" s="148" t="str">
        <f t="array" ref="B62">IFERROR(INDEX('DB(読み込みシート※編集厳禁)'!$A$3:$AH$501,MATCH($C62,'DB(読み込みシート※編集厳禁)'!$B$3:$B$501,0),MATCH(B$14,'DB(読み込みシート※編集厳禁)'!$A$2:$AH$2,0)),"")</f>
        <v>C1</v>
      </c>
      <c r="C62" s="149">
        <v>46.0</v>
      </c>
      <c r="D62" s="169" t="str">
        <f t="array" ref="D62">IFERROR(INDEX('DB(読み込みシート※編集厳禁)'!$A$3:$AH$501,MATCH($C62,'DB(読み込みシート※編集厳禁)'!$B$3:$B$501,0),MATCH(D$14,'DB(読み込みシート※編集厳禁)'!$A$2:$AH$2,0)),"")</f>
        <v>しょこら。</v>
      </c>
      <c r="E62" s="170" t="str">
        <f t="array" ref="E62">IFERROR(INDEX('DB(読み込みシート※編集厳禁)'!$A$3:$AH$501,MATCH($C62,'DB(読み込みシート※編集厳禁)'!$B$3:$B$501,0),MATCH(E$14,'DB(読み込みシート※編集厳禁)'!$A$2:$AH$2,0)),"")</f>
        <v>GSX-R600</v>
      </c>
      <c r="F62" s="171" t="str">
        <f t="array" ref="F62">IFERROR(INDEX('DB(読み込みシート※編集厳禁)'!$A$3:$AH$501,MATCH($C62,'DB(読み込みシート※編集厳禁)'!$B$3:$B$501,0),MATCH(F$14,'DB(読み込みシート※編集厳禁)'!$A$2:$AH$2,0)),"")</f>
        <v>青/白</v>
      </c>
      <c r="G62" s="133" t="str">
        <f t="shared" si="8"/>
        <v>1:44:866</v>
      </c>
      <c r="H62" s="152" t="str">
        <f t="shared" si="9"/>
        <v>1:45:866</v>
      </c>
      <c r="I62" s="135">
        <v>144866.0</v>
      </c>
      <c r="J62" s="166">
        <v>1.0</v>
      </c>
      <c r="K62" s="137" t="s">
        <v>15</v>
      </c>
      <c r="L62" s="138" t="str">
        <f t="shared" si="10"/>
        <v>1</v>
      </c>
      <c r="M62" s="139" t="str">
        <f t="shared" si="11"/>
        <v>44</v>
      </c>
      <c r="N62" s="140" t="str">
        <f t="shared" si="12"/>
        <v>866</v>
      </c>
      <c r="O62" s="141" t="str">
        <f t="shared" si="13"/>
        <v>1:44:224</v>
      </c>
      <c r="P62" s="162" t="str">
        <f t="shared" si="14"/>
        <v>1:44:224</v>
      </c>
      <c r="Q62" s="148" t="str">
        <f t="array" ref="Q62">IFERROR(INDEX('DB(読み込みシート※編集厳禁)'!$A$3:$AH$501,MATCH($C62,'DB(読み込みシート※編集厳禁)'!$B$3:$B$501,0),MATCH(Q$14,'DB(読み込みシート※編集厳禁)'!$A$2:$AH$2,0)),"")</f>
        <v>C1</v>
      </c>
      <c r="R62" s="149">
        <v>46.0</v>
      </c>
      <c r="S62" s="169" t="str">
        <f t="array" ref="S62">IFERROR(INDEX('DB(読み込みシート※編集厳禁)'!$A$3:$AH$501,MATCH($C62,'DB(読み込みシート※編集厳禁)'!$B$3:$B$501,0),MATCH(S$14,'DB(読み込みシート※編集厳禁)'!$A$2:$AH$2,0)),"")</f>
        <v>しょこら。</v>
      </c>
      <c r="T62" s="170" t="str">
        <f t="array" ref="T62">IFERROR(INDEX('DB(読み込みシート※編集厳禁)'!$A$3:$AH$501,MATCH($C62,'DB(読み込みシート※編集厳禁)'!$B$3:$B$501,0),MATCH(T$14,'DB(読み込みシート※編集厳禁)'!$A$2:$AH$2,0)),"")</f>
        <v>GSX-R600</v>
      </c>
      <c r="U62" s="135">
        <v>144224.0</v>
      </c>
      <c r="V62" s="166"/>
      <c r="W62" s="137" t="s">
        <v>15</v>
      </c>
      <c r="X62" s="138" t="str">
        <f t="shared" si="15"/>
        <v>1</v>
      </c>
      <c r="Y62" s="139" t="str">
        <f t="shared" si="16"/>
        <v>44</v>
      </c>
      <c r="Z62" s="144" t="str">
        <f t="shared" si="17"/>
        <v>224</v>
      </c>
      <c r="AA62" s="1"/>
      <c r="AB62" s="6"/>
      <c r="AC62" s="6"/>
      <c r="AD62" s="6"/>
      <c r="AE62" s="6"/>
      <c r="AF62" s="6"/>
      <c r="AG62" s="6">
        <f t="shared" si="18"/>
        <v>140000</v>
      </c>
      <c r="AH62" s="6">
        <f t="shared" si="19"/>
        <v>142046</v>
      </c>
      <c r="AI62" s="6" t="str">
        <f t="shared" si="20"/>
        <v>C1-2</v>
      </c>
      <c r="AJ62" s="6"/>
      <c r="AK62" s="6" t="str">
        <f t="shared" si="21"/>
        <v/>
      </c>
      <c r="AL62" s="6"/>
      <c r="AM62" s="6"/>
      <c r="AN62" s="6"/>
      <c r="AO62" s="6"/>
      <c r="AP62" s="6"/>
      <c r="AQ62" s="7"/>
      <c r="AR62" s="69"/>
      <c r="AS62" s="69"/>
      <c r="AT62" s="39">
        <v>46.0</v>
      </c>
      <c r="AU62" s="69" t="str">
        <f t="array" ref="AU62">IFERROR(INDEX('DB(読み込みシート※編集厳禁)'!$A$3:$AH$501,MATCH($C62,'DB(読み込みシート※編集厳禁)'!$B$3:$B$501,0),MATCH(AU$16,'DB(読み込みシート※編集厳禁)'!$A$2:$AH$2,0)),"")</f>
        <v>いいえ</v>
      </c>
      <c r="AV62" s="69" t="str">
        <f t="array" ref="AV62">IFERROR(INDEX('DB(読み込みシート※編集厳禁)'!$A$3:$AH$501,MATCH($C62,'DB(読み込みシート※編集厳禁)'!$B$3:$B$501,0),MATCH(AV$16,'DB(読み込みシート※編集厳禁)'!$A$2:$AH$2,0)),"")</f>
        <v>いいえ</v>
      </c>
      <c r="AW62" s="69" t="str">
        <f t="shared" si="22"/>
        <v>1:44:866</v>
      </c>
      <c r="AX62" s="69" t="str">
        <f t="shared" si="23"/>
        <v>1:45:866</v>
      </c>
      <c r="AY62" s="69">
        <f t="shared" si="24"/>
        <v>1</v>
      </c>
      <c r="AZ62" s="69" t="str">
        <f t="shared" si="25"/>
        <v>1:44:224</v>
      </c>
      <c r="BA62" s="69" t="str">
        <f t="shared" si="26"/>
        <v>1:44:224</v>
      </c>
      <c r="BB62" s="69" t="str">
        <f t="shared" si="27"/>
        <v>-</v>
      </c>
      <c r="BC62" s="69" t="str">
        <f t="shared" si="28"/>
        <v>1:44:224</v>
      </c>
      <c r="BD62" s="70">
        <f t="shared" si="29"/>
        <v>1.067803209</v>
      </c>
      <c r="BE62" s="70">
        <f t="shared" si="30"/>
        <v>1.067803209</v>
      </c>
      <c r="BF62" s="147">
        <f t="shared" si="31"/>
        <v>105866</v>
      </c>
      <c r="BG62" s="147">
        <f t="shared" si="32"/>
        <v>104224</v>
      </c>
      <c r="BH62" s="1">
        <f t="shared" si="33"/>
        <v>104224</v>
      </c>
      <c r="BI62" s="1">
        <f t="shared" si="34"/>
        <v>10422446</v>
      </c>
      <c r="BJ62" s="1">
        <f t="shared" si="35"/>
        <v>300010422446</v>
      </c>
      <c r="BK62" s="1">
        <f t="shared" si="36"/>
        <v>104224</v>
      </c>
      <c r="BL62" s="1">
        <f t="shared" si="37"/>
        <v>7</v>
      </c>
      <c r="BM62" s="1" t="str">
        <f t="shared" si="38"/>
        <v>総合9</v>
      </c>
      <c r="BN62" s="1">
        <f t="shared" si="39"/>
        <v>2</v>
      </c>
      <c r="BO62" s="1" t="str">
        <f t="shared" si="40"/>
        <v>C12</v>
      </c>
      <c r="BP62" s="1" t="str">
        <f t="shared" si="41"/>
        <v>-</v>
      </c>
      <c r="BQ62" s="1" t="str">
        <f t="shared" si="42"/>
        <v>セパハン-</v>
      </c>
      <c r="BR62" s="1" t="str">
        <f t="shared" si="43"/>
        <v>-</v>
      </c>
      <c r="BS62" s="1" t="str">
        <f t="shared" si="44"/>
        <v>ミニ-</v>
      </c>
      <c r="BT62" s="1"/>
      <c r="BU62" s="1"/>
      <c r="BV62" s="1"/>
      <c r="BW62" s="1"/>
      <c r="BX62" s="1"/>
    </row>
    <row r="63">
      <c r="A63" s="1"/>
      <c r="B63" s="148" t="str">
        <f t="array" ref="B63">IFERROR(INDEX('DB(読み込みシート※編集厳禁)'!$A$3:$AH$501,MATCH($C63,'DB(読み込みシート※編集厳禁)'!$B$3:$B$501,0),MATCH(B$14,'DB(読み込みシート※編集厳禁)'!$A$2:$AH$2,0)),"")</f>
        <v>C1</v>
      </c>
      <c r="C63" s="149">
        <v>47.0</v>
      </c>
      <c r="D63" s="169" t="str">
        <f t="array" ref="D63">IFERROR(INDEX('DB(読み込みシート※編集厳禁)'!$A$3:$AH$501,MATCH($C63,'DB(読み込みシート※編集厳禁)'!$B$3:$B$501,0),MATCH(D$14,'DB(読み込みシート※編集厳禁)'!$A$2:$AH$2,0)),"")</f>
        <v>角</v>
      </c>
      <c r="E63" s="170" t="str">
        <f t="array" ref="E63">IFERROR(INDEX('DB(読み込みシート※編集厳禁)'!$A$3:$AH$501,MATCH($C63,'DB(読み込みシート※編集厳禁)'!$B$3:$B$501,0),MATCH(E$14,'DB(読み込みシート※編集厳禁)'!$A$2:$AH$2,0)),"")</f>
        <v>SV650</v>
      </c>
      <c r="F63" s="171" t="str">
        <f t="array" ref="F63">IFERROR(INDEX('DB(読み込みシート※編集厳禁)'!$A$3:$AH$501,MATCH($C63,'DB(読み込みシート※編集厳禁)'!$B$3:$B$501,0),MATCH(F$14,'DB(読み込みシート※編集厳禁)'!$A$2:$AH$2,0)),"")</f>
        <v>赤/銀</v>
      </c>
      <c r="G63" s="133" t="str">
        <f t="shared" si="8"/>
        <v>1:43:467</v>
      </c>
      <c r="H63" s="152" t="str">
        <f t="shared" si="9"/>
        <v>1:45:467</v>
      </c>
      <c r="I63" s="135">
        <v>143467.0</v>
      </c>
      <c r="J63" s="166">
        <v>2.0</v>
      </c>
      <c r="K63" s="137" t="s">
        <v>15</v>
      </c>
      <c r="L63" s="138" t="str">
        <f t="shared" si="10"/>
        <v>1</v>
      </c>
      <c r="M63" s="139" t="str">
        <f t="shared" si="11"/>
        <v>43</v>
      </c>
      <c r="N63" s="140" t="str">
        <f t="shared" si="12"/>
        <v>467</v>
      </c>
      <c r="O63" s="141" t="str">
        <f t="shared" si="13"/>
        <v>1:44:448</v>
      </c>
      <c r="P63" s="162" t="str">
        <f t="shared" si="14"/>
        <v>1:45:448</v>
      </c>
      <c r="Q63" s="148" t="str">
        <f t="array" ref="Q63">IFERROR(INDEX('DB(読み込みシート※編集厳禁)'!$A$3:$AH$501,MATCH($C63,'DB(読み込みシート※編集厳禁)'!$B$3:$B$501,0),MATCH(Q$14,'DB(読み込みシート※編集厳禁)'!$A$2:$AH$2,0)),"")</f>
        <v>C1</v>
      </c>
      <c r="R63" s="149">
        <v>47.0</v>
      </c>
      <c r="S63" s="169" t="str">
        <f t="array" ref="S63">IFERROR(INDEX('DB(読み込みシート※編集厳禁)'!$A$3:$AH$501,MATCH($C63,'DB(読み込みシート※編集厳禁)'!$B$3:$B$501,0),MATCH(S$14,'DB(読み込みシート※編集厳禁)'!$A$2:$AH$2,0)),"")</f>
        <v>角</v>
      </c>
      <c r="T63" s="170" t="str">
        <f t="array" ref="T63">IFERROR(INDEX('DB(読み込みシート※編集厳禁)'!$A$3:$AH$501,MATCH($C63,'DB(読み込みシート※編集厳禁)'!$B$3:$B$501,0),MATCH(T$14,'DB(読み込みシート※編集厳禁)'!$A$2:$AH$2,0)),"")</f>
        <v>SV650</v>
      </c>
      <c r="U63" s="135">
        <v>144448.0</v>
      </c>
      <c r="V63" s="166">
        <v>1.0</v>
      </c>
      <c r="W63" s="137" t="s">
        <v>15</v>
      </c>
      <c r="X63" s="138" t="str">
        <f t="shared" si="15"/>
        <v>1</v>
      </c>
      <c r="Y63" s="139" t="str">
        <f t="shared" si="16"/>
        <v>44</v>
      </c>
      <c r="Z63" s="144" t="str">
        <f t="shared" si="17"/>
        <v>448</v>
      </c>
      <c r="AA63" s="1"/>
      <c r="AB63" s="6"/>
      <c r="AC63" s="6"/>
      <c r="AD63" s="6"/>
      <c r="AE63" s="6"/>
      <c r="AF63" s="6"/>
      <c r="AG63" s="6">
        <f t="shared" si="18"/>
        <v>140000</v>
      </c>
      <c r="AH63" s="6">
        <f t="shared" si="19"/>
        <v>142047</v>
      </c>
      <c r="AI63" s="6" t="str">
        <f t="shared" si="20"/>
        <v>C1-3</v>
      </c>
      <c r="AJ63" s="6"/>
      <c r="AK63" s="6" t="str">
        <f t="shared" si="21"/>
        <v/>
      </c>
      <c r="AL63" s="6"/>
      <c r="AM63" s="6"/>
      <c r="AN63" s="6"/>
      <c r="AO63" s="6"/>
      <c r="AP63" s="6"/>
      <c r="AQ63" s="7"/>
      <c r="AR63" s="69"/>
      <c r="AS63" s="69"/>
      <c r="AT63" s="39">
        <v>47.0</v>
      </c>
      <c r="AU63" s="69" t="str">
        <f t="array" ref="AU63">IFERROR(INDEX('DB(読み込みシート※編集厳禁)'!$A$3:$AH$501,MATCH($C63,'DB(読み込みシート※編集厳禁)'!$B$3:$B$501,0),MATCH(AU$16,'DB(読み込みシート※編集厳禁)'!$A$2:$AH$2,0)),"")</f>
        <v>いいえ</v>
      </c>
      <c r="AV63" s="69" t="str">
        <f t="array" ref="AV63">IFERROR(INDEX('DB(読み込みシート※編集厳禁)'!$A$3:$AH$501,MATCH($C63,'DB(読み込みシート※編集厳禁)'!$B$3:$B$501,0),MATCH(AV$16,'DB(読み込みシート※編集厳禁)'!$A$2:$AH$2,0)),"")</f>
        <v>いいえ</v>
      </c>
      <c r="AW63" s="69" t="str">
        <f t="shared" si="22"/>
        <v>1:43:467</v>
      </c>
      <c r="AX63" s="69" t="str">
        <f t="shared" si="23"/>
        <v>1:45:467</v>
      </c>
      <c r="AY63" s="69">
        <f t="shared" si="24"/>
        <v>2</v>
      </c>
      <c r="AZ63" s="69" t="str">
        <f t="shared" si="25"/>
        <v>1:44:448</v>
      </c>
      <c r="BA63" s="69" t="str">
        <f t="shared" si="26"/>
        <v>1:45:448</v>
      </c>
      <c r="BB63" s="69">
        <f t="shared" si="27"/>
        <v>1</v>
      </c>
      <c r="BC63" s="69" t="str">
        <f t="shared" si="28"/>
        <v>1:45:448</v>
      </c>
      <c r="BD63" s="70">
        <f t="shared" si="29"/>
        <v>1.080343422</v>
      </c>
      <c r="BE63" s="70">
        <f t="shared" si="30"/>
        <v>1.080343422</v>
      </c>
      <c r="BF63" s="147">
        <f t="shared" si="31"/>
        <v>105467</v>
      </c>
      <c r="BG63" s="147">
        <f t="shared" si="32"/>
        <v>105448</v>
      </c>
      <c r="BH63" s="1">
        <f t="shared" si="33"/>
        <v>105448</v>
      </c>
      <c r="BI63" s="1">
        <f t="shared" si="34"/>
        <v>10544847</v>
      </c>
      <c r="BJ63" s="1">
        <f t="shared" si="35"/>
        <v>300010544847</v>
      </c>
      <c r="BK63" s="1">
        <f t="shared" si="36"/>
        <v>105448</v>
      </c>
      <c r="BL63" s="1">
        <f t="shared" si="37"/>
        <v>9</v>
      </c>
      <c r="BM63" s="1" t="str">
        <f t="shared" si="38"/>
        <v>総合10</v>
      </c>
      <c r="BN63" s="1">
        <f t="shared" si="39"/>
        <v>3</v>
      </c>
      <c r="BO63" s="1" t="str">
        <f t="shared" si="40"/>
        <v>C13</v>
      </c>
      <c r="BP63" s="1" t="str">
        <f t="shared" si="41"/>
        <v>-</v>
      </c>
      <c r="BQ63" s="1" t="str">
        <f t="shared" si="42"/>
        <v>セパハン-</v>
      </c>
      <c r="BR63" s="1" t="str">
        <f t="shared" si="43"/>
        <v>-</v>
      </c>
      <c r="BS63" s="1" t="str">
        <f t="shared" si="44"/>
        <v>ミニ-</v>
      </c>
      <c r="BT63" s="1"/>
      <c r="BU63" s="1"/>
      <c r="BV63" s="1"/>
      <c r="BW63" s="1"/>
      <c r="BX63" s="1"/>
    </row>
    <row r="64">
      <c r="A64" s="1"/>
      <c r="B64" s="148" t="str">
        <f t="array" ref="B64">IFERROR(INDEX('DB(読み込みシート※編集厳禁)'!$A$3:$AH$501,MATCH($C64,'DB(読み込みシート※編集厳禁)'!$B$3:$B$501,0),MATCH(B$14,'DB(読み込みシート※編集厳禁)'!$A$2:$AH$2,0)),"")</f>
        <v>B</v>
      </c>
      <c r="C64" s="149">
        <v>48.0</v>
      </c>
      <c r="D64" s="169" t="str">
        <f t="array" ref="D64">IFERROR(INDEX('DB(読み込みシート※編集厳禁)'!$A$3:$AH$501,MATCH($C64,'DB(読み込みシート※編集厳禁)'!$B$3:$B$501,0),MATCH(D$14,'DB(読み込みシート※編集厳禁)'!$A$2:$AH$2,0)),"")</f>
        <v>P</v>
      </c>
      <c r="E64" s="170" t="str">
        <f t="array" ref="E64">IFERROR(INDEX('DB(読み込みシート※編集厳禁)'!$A$3:$AH$501,MATCH($C64,'DB(読み込みシート※編集厳禁)'!$B$3:$B$501,0),MATCH(E$14,'DB(読み込みシート※編集厳禁)'!$A$2:$AH$2,0)),"")</f>
        <v>XSR155</v>
      </c>
      <c r="F64" s="171" t="str">
        <f t="array" ref="F64">IFERROR(INDEX('DB(読み込みシート※編集厳禁)'!$A$3:$AH$501,MATCH($C64,'DB(読み込みシート※編集厳禁)'!$B$3:$B$501,0),MATCH(F$14,'DB(読み込みシート※編集厳禁)'!$A$2:$AH$2,0)),"")</f>
        <v>グリーン</v>
      </c>
      <c r="G64" s="133" t="str">
        <f t="shared" si="8"/>
        <v>1:54:612</v>
      </c>
      <c r="H64" s="152" t="str">
        <f t="shared" si="9"/>
        <v>1:54:612</v>
      </c>
      <c r="I64" s="135">
        <v>154612.0</v>
      </c>
      <c r="J64" s="166"/>
      <c r="K64" s="137" t="s">
        <v>15</v>
      </c>
      <c r="L64" s="138" t="str">
        <f t="shared" si="10"/>
        <v>1</v>
      </c>
      <c r="M64" s="139" t="str">
        <f t="shared" si="11"/>
        <v>54</v>
      </c>
      <c r="N64" s="140" t="str">
        <f t="shared" si="12"/>
        <v>612</v>
      </c>
      <c r="O64" s="141" t="str">
        <f t="shared" si="13"/>
        <v>1:54:509</v>
      </c>
      <c r="P64" s="162" t="str">
        <f t="shared" si="14"/>
        <v>1:56:509</v>
      </c>
      <c r="Q64" s="148" t="str">
        <f t="array" ref="Q64">IFERROR(INDEX('DB(読み込みシート※編集厳禁)'!$A$3:$AH$501,MATCH($C64,'DB(読み込みシート※編集厳禁)'!$B$3:$B$501,0),MATCH(Q$14,'DB(読み込みシート※編集厳禁)'!$A$2:$AH$2,0)),"")</f>
        <v>B</v>
      </c>
      <c r="R64" s="149">
        <v>48.0</v>
      </c>
      <c r="S64" s="169" t="str">
        <f t="array" ref="S64">IFERROR(INDEX('DB(読み込みシート※編集厳禁)'!$A$3:$AH$501,MATCH($C64,'DB(読み込みシート※編集厳禁)'!$B$3:$B$501,0),MATCH(S$14,'DB(読み込みシート※編集厳禁)'!$A$2:$AH$2,0)),"")</f>
        <v>P</v>
      </c>
      <c r="T64" s="170" t="str">
        <f t="array" ref="T64">IFERROR(INDEX('DB(読み込みシート※編集厳禁)'!$A$3:$AH$501,MATCH($C64,'DB(読み込みシート※編集厳禁)'!$B$3:$B$501,0),MATCH(T$14,'DB(読み込みシート※編集厳禁)'!$A$2:$AH$2,0)),"")</f>
        <v>XSR155</v>
      </c>
      <c r="U64" s="135">
        <v>154509.0</v>
      </c>
      <c r="V64" s="166">
        <v>2.0</v>
      </c>
      <c r="W64" s="137" t="s">
        <v>15</v>
      </c>
      <c r="X64" s="138" t="str">
        <f t="shared" si="15"/>
        <v>1</v>
      </c>
      <c r="Y64" s="139" t="str">
        <f t="shared" si="16"/>
        <v>54</v>
      </c>
      <c r="Z64" s="144" t="str">
        <f t="shared" si="17"/>
        <v>509</v>
      </c>
      <c r="AA64" s="1"/>
      <c r="AB64" s="6"/>
      <c r="AC64" s="6"/>
      <c r="AD64" s="6"/>
      <c r="AE64" s="6"/>
      <c r="AF64" s="6"/>
      <c r="AG64" s="6">
        <f t="shared" si="18"/>
        <v>150000</v>
      </c>
      <c r="AH64" s="6">
        <f t="shared" si="19"/>
        <v>152048</v>
      </c>
      <c r="AI64" s="6" t="str">
        <f t="shared" si="20"/>
        <v>B-4</v>
      </c>
      <c r="AJ64" s="6"/>
      <c r="AK64" s="6" t="str">
        <f t="shared" si="21"/>
        <v/>
      </c>
      <c r="AL64" s="6"/>
      <c r="AM64" s="6"/>
      <c r="AN64" s="6"/>
      <c r="AO64" s="6"/>
      <c r="AP64" s="6"/>
      <c r="AQ64" s="7"/>
      <c r="AR64" s="69"/>
      <c r="AS64" s="69"/>
      <c r="AT64" s="39">
        <v>48.0</v>
      </c>
      <c r="AU64" s="69" t="str">
        <f t="array" ref="AU64">IFERROR(INDEX('DB(読み込みシート※編集厳禁)'!$A$3:$AH$501,MATCH($C64,'DB(読み込みシート※編集厳禁)'!$B$3:$B$501,0),MATCH(AU$16,'DB(読み込みシート※編集厳禁)'!$A$2:$AH$2,0)),"")</f>
        <v>いいえ</v>
      </c>
      <c r="AV64" s="69" t="str">
        <f t="array" ref="AV64">IFERROR(INDEX('DB(読み込みシート※編集厳禁)'!$A$3:$AH$501,MATCH($C64,'DB(読み込みシート※編集厳禁)'!$B$3:$B$501,0),MATCH(AV$16,'DB(読み込みシート※編集厳禁)'!$A$2:$AH$2,0)),"")</f>
        <v>いいえ</v>
      </c>
      <c r="AW64" s="69" t="str">
        <f t="shared" si="22"/>
        <v>1:54:612</v>
      </c>
      <c r="AX64" s="69" t="str">
        <f t="shared" si="23"/>
        <v>1:54:612</v>
      </c>
      <c r="AY64" s="69" t="str">
        <f t="shared" si="24"/>
        <v>-</v>
      </c>
      <c r="AZ64" s="69" t="str">
        <f t="shared" si="25"/>
        <v>1:54:509</v>
      </c>
      <c r="BA64" s="69" t="str">
        <f t="shared" si="26"/>
        <v>1:56:509</v>
      </c>
      <c r="BB64" s="69">
        <f t="shared" si="27"/>
        <v>2</v>
      </c>
      <c r="BC64" s="69" t="str">
        <f t="shared" si="28"/>
        <v>1:54:612</v>
      </c>
      <c r="BD64" s="70">
        <f t="shared" si="29"/>
        <v>1.174231092</v>
      </c>
      <c r="BE64" s="70">
        <f t="shared" si="30"/>
        <v>1.174231092</v>
      </c>
      <c r="BF64" s="147">
        <f t="shared" si="31"/>
        <v>114612</v>
      </c>
      <c r="BG64" s="147">
        <f t="shared" si="32"/>
        <v>116509</v>
      </c>
      <c r="BH64" s="1">
        <f t="shared" si="33"/>
        <v>114612</v>
      </c>
      <c r="BI64" s="1">
        <f t="shared" si="34"/>
        <v>11461248</v>
      </c>
      <c r="BJ64" s="1">
        <f t="shared" si="35"/>
        <v>200011461248</v>
      </c>
      <c r="BK64" s="1">
        <f t="shared" si="36"/>
        <v>114612</v>
      </c>
      <c r="BL64" s="1">
        <f t="shared" si="37"/>
        <v>31</v>
      </c>
      <c r="BM64" s="1" t="str">
        <f t="shared" si="38"/>
        <v>総合7</v>
      </c>
      <c r="BN64" s="1">
        <f t="shared" si="39"/>
        <v>4</v>
      </c>
      <c r="BO64" s="1" t="str">
        <f t="shared" si="40"/>
        <v>B4</v>
      </c>
      <c r="BP64" s="1" t="str">
        <f t="shared" si="41"/>
        <v>-</v>
      </c>
      <c r="BQ64" s="1" t="str">
        <f t="shared" si="42"/>
        <v>セパハン-</v>
      </c>
      <c r="BR64" s="1" t="str">
        <f t="shared" si="43"/>
        <v>-</v>
      </c>
      <c r="BS64" s="1" t="str">
        <f t="shared" si="44"/>
        <v>ミニ-</v>
      </c>
      <c r="BT64" s="1"/>
      <c r="BU64" s="1"/>
      <c r="BV64" s="1"/>
      <c r="BW64" s="1"/>
      <c r="BX64" s="1"/>
    </row>
    <row r="65">
      <c r="A65" s="1"/>
      <c r="B65" s="148" t="str">
        <f t="array" ref="B65">IFERROR(INDEX('DB(読み込みシート※編集厳禁)'!$A$3:$AH$501,MATCH($C65,'DB(読み込みシート※編集厳禁)'!$B$3:$B$501,0),MATCH(B$14,'DB(読み込みシート※編集厳禁)'!$A$2:$AH$2,0)),"")</f>
        <v>B</v>
      </c>
      <c r="C65" s="149">
        <v>49.0</v>
      </c>
      <c r="D65" s="169" t="str">
        <f t="array" ref="D65">IFERROR(INDEX('DB(読み込みシート※編集厳禁)'!$A$3:$AH$501,MATCH($C65,'DB(読み込みシート※編集厳禁)'!$B$3:$B$501,0),MATCH(D$14,'DB(読み込みシート※編集厳禁)'!$A$2:$AH$2,0)),"")</f>
        <v>てくきか</v>
      </c>
      <c r="E65" s="170" t="str">
        <f t="array" ref="E65">IFERROR(INDEX('DB(読み込みシート※編集厳禁)'!$A$3:$AH$501,MATCH($C65,'DB(読み込みシート※編集厳禁)'!$B$3:$B$501,0),MATCH(E$14,'DB(読み込みシート※編集厳禁)'!$A$2:$AH$2,0)),"")</f>
        <v>ZX-4R</v>
      </c>
      <c r="F65" s="171" t="str">
        <f t="array" ref="F65">IFERROR(INDEX('DB(読み込みシート※編集厳禁)'!$A$3:$AH$501,MATCH($C65,'DB(読み込みシート※編集厳禁)'!$B$3:$B$501,0),MATCH(F$14,'DB(読み込みシート※編集厳禁)'!$A$2:$AH$2,0)),"")</f>
        <v>黒</v>
      </c>
      <c r="G65" s="133" t="str">
        <f t="shared" si="8"/>
        <v>1:44:701</v>
      </c>
      <c r="H65" s="152" t="str">
        <f t="shared" si="9"/>
        <v>1:44:701</v>
      </c>
      <c r="I65" s="135">
        <v>144701.0</v>
      </c>
      <c r="J65" s="166"/>
      <c r="K65" s="137" t="s">
        <v>15</v>
      </c>
      <c r="L65" s="138" t="str">
        <f t="shared" si="10"/>
        <v>1</v>
      </c>
      <c r="M65" s="139" t="str">
        <f t="shared" si="11"/>
        <v>44</v>
      </c>
      <c r="N65" s="140" t="str">
        <f t="shared" si="12"/>
        <v>701</v>
      </c>
      <c r="O65" s="141" t="str">
        <f t="shared" si="13"/>
        <v>1:44:742</v>
      </c>
      <c r="P65" s="162" t="str">
        <f t="shared" si="14"/>
        <v>1:44:742</v>
      </c>
      <c r="Q65" s="148" t="str">
        <f t="array" ref="Q65">IFERROR(INDEX('DB(読み込みシート※編集厳禁)'!$A$3:$AH$501,MATCH($C65,'DB(読み込みシート※編集厳禁)'!$B$3:$B$501,0),MATCH(Q$14,'DB(読み込みシート※編集厳禁)'!$A$2:$AH$2,0)),"")</f>
        <v>B</v>
      </c>
      <c r="R65" s="149">
        <v>49.0</v>
      </c>
      <c r="S65" s="169" t="str">
        <f t="array" ref="S65">IFERROR(INDEX('DB(読み込みシート※編集厳禁)'!$A$3:$AH$501,MATCH($C65,'DB(読み込みシート※編集厳禁)'!$B$3:$B$501,0),MATCH(S$14,'DB(読み込みシート※編集厳禁)'!$A$2:$AH$2,0)),"")</f>
        <v>てくきか</v>
      </c>
      <c r="T65" s="170" t="str">
        <f t="array" ref="T65">IFERROR(INDEX('DB(読み込みシート※編集厳禁)'!$A$3:$AH$501,MATCH($C65,'DB(読み込みシート※編集厳禁)'!$B$3:$B$501,0),MATCH(T$14,'DB(読み込みシート※編集厳禁)'!$A$2:$AH$2,0)),"")</f>
        <v>ZX-4R</v>
      </c>
      <c r="U65" s="135">
        <v>144742.0</v>
      </c>
      <c r="V65" s="166"/>
      <c r="W65" s="137" t="s">
        <v>15</v>
      </c>
      <c r="X65" s="138" t="str">
        <f t="shared" si="15"/>
        <v>1</v>
      </c>
      <c r="Y65" s="139" t="str">
        <f t="shared" si="16"/>
        <v>44</v>
      </c>
      <c r="Z65" s="144" t="str">
        <f t="shared" si="17"/>
        <v>742</v>
      </c>
      <c r="AA65" s="1"/>
      <c r="AB65" s="6"/>
      <c r="AC65" s="6"/>
      <c r="AD65" s="6"/>
      <c r="AE65" s="6"/>
      <c r="AF65" s="6"/>
      <c r="AG65" s="6">
        <f t="shared" si="18"/>
        <v>150000</v>
      </c>
      <c r="AH65" s="6">
        <f t="shared" si="19"/>
        <v>152049</v>
      </c>
      <c r="AI65" s="6" t="str">
        <f t="shared" si="20"/>
        <v>B-3</v>
      </c>
      <c r="AJ65" s="6"/>
      <c r="AK65" s="6" t="str">
        <f t="shared" si="21"/>
        <v/>
      </c>
      <c r="AL65" s="6"/>
      <c r="AM65" s="6"/>
      <c r="AN65" s="6"/>
      <c r="AO65" s="6"/>
      <c r="AP65" s="6"/>
      <c r="AQ65" s="7"/>
      <c r="AR65" s="69"/>
      <c r="AS65" s="69"/>
      <c r="AT65" s="39">
        <v>49.0</v>
      </c>
      <c r="AU65" s="69" t="str">
        <f t="array" ref="AU65">IFERROR(INDEX('DB(読み込みシート※編集厳禁)'!$A$3:$AH$501,MATCH($C65,'DB(読み込みシート※編集厳禁)'!$B$3:$B$501,0),MATCH(AU$16,'DB(読み込みシート※編集厳禁)'!$A$2:$AH$2,0)),"")</f>
        <v>いいえ</v>
      </c>
      <c r="AV65" s="69" t="str">
        <f t="array" ref="AV65">IFERROR(INDEX('DB(読み込みシート※編集厳禁)'!$A$3:$AH$501,MATCH($C65,'DB(読み込みシート※編集厳禁)'!$B$3:$B$501,0),MATCH(AV$16,'DB(読み込みシート※編集厳禁)'!$A$2:$AH$2,0)),"")</f>
        <v>いいえ</v>
      </c>
      <c r="AW65" s="69" t="str">
        <f t="shared" si="22"/>
        <v>1:44:701</v>
      </c>
      <c r="AX65" s="69" t="str">
        <f t="shared" si="23"/>
        <v>1:44:701</v>
      </c>
      <c r="AY65" s="69" t="str">
        <f t="shared" si="24"/>
        <v>-</v>
      </c>
      <c r="AZ65" s="69" t="str">
        <f t="shared" si="25"/>
        <v>1:44:742</v>
      </c>
      <c r="BA65" s="69" t="str">
        <f t="shared" si="26"/>
        <v>1:44:742</v>
      </c>
      <c r="BB65" s="69" t="str">
        <f t="shared" si="27"/>
        <v>-</v>
      </c>
      <c r="BC65" s="69" t="str">
        <f t="shared" si="28"/>
        <v>1:44:701</v>
      </c>
      <c r="BD65" s="70">
        <f t="shared" si="29"/>
        <v>1.072690203</v>
      </c>
      <c r="BE65" s="70">
        <f t="shared" si="30"/>
        <v>1.072690203</v>
      </c>
      <c r="BF65" s="147">
        <f t="shared" si="31"/>
        <v>104701</v>
      </c>
      <c r="BG65" s="147">
        <f t="shared" si="32"/>
        <v>104742</v>
      </c>
      <c r="BH65" s="1">
        <f t="shared" si="33"/>
        <v>104701</v>
      </c>
      <c r="BI65" s="1">
        <f t="shared" si="34"/>
        <v>10470149</v>
      </c>
      <c r="BJ65" s="1">
        <f t="shared" si="35"/>
        <v>200010470149</v>
      </c>
      <c r="BK65" s="1">
        <f t="shared" si="36"/>
        <v>104701</v>
      </c>
      <c r="BL65" s="1">
        <f t="shared" si="37"/>
        <v>8</v>
      </c>
      <c r="BM65" s="1" t="str">
        <f t="shared" si="38"/>
        <v>総合6</v>
      </c>
      <c r="BN65" s="1">
        <f t="shared" si="39"/>
        <v>3</v>
      </c>
      <c r="BO65" s="1" t="str">
        <f t="shared" si="40"/>
        <v>B3</v>
      </c>
      <c r="BP65" s="1" t="str">
        <f t="shared" si="41"/>
        <v>-</v>
      </c>
      <c r="BQ65" s="1" t="str">
        <f t="shared" si="42"/>
        <v>セパハン-</v>
      </c>
      <c r="BR65" s="1" t="str">
        <f t="shared" si="43"/>
        <v>-</v>
      </c>
      <c r="BS65" s="1" t="str">
        <f t="shared" si="44"/>
        <v>ミニ-</v>
      </c>
      <c r="BT65" s="1"/>
      <c r="BU65" s="1"/>
      <c r="BV65" s="1"/>
      <c r="BW65" s="1"/>
      <c r="BX65" s="1"/>
    </row>
    <row r="66">
      <c r="A66" s="1"/>
      <c r="B66" s="148" t="str">
        <f t="array" ref="B66">IFERROR(INDEX('DB(読み込みシート※編集厳禁)'!$A$3:$AH$501,MATCH($C66,'DB(読み込みシート※編集厳禁)'!$B$3:$B$501,0),MATCH(B$14,'DB(読み込みシート※編集厳禁)'!$A$2:$AH$2,0)),"")</f>
        <v>B</v>
      </c>
      <c r="C66" s="149">
        <v>50.0</v>
      </c>
      <c r="D66" s="169" t="str">
        <f t="array" ref="D66">IFERROR(INDEX('DB(読み込みシート※編集厳禁)'!$A$3:$AH$501,MATCH($C66,'DB(読み込みシート※編集厳禁)'!$B$3:$B$501,0),MATCH(D$14,'DB(読み込みシート※編集厳禁)'!$A$2:$AH$2,0)),"")</f>
        <v>どmの</v>
      </c>
      <c r="E66" s="170" t="str">
        <f t="array" ref="E66">IFERROR(INDEX('DB(読み込みシート※編集厳禁)'!$A$3:$AH$501,MATCH($C66,'DB(読み込みシート※編集厳禁)'!$B$3:$B$501,0),MATCH(E$14,'DB(読み込みシート※編集厳禁)'!$A$2:$AH$2,0)),"")</f>
        <v>CBR600RR</v>
      </c>
      <c r="F66" s="171" t="str">
        <f t="array" ref="F66">IFERROR(INDEX('DB(読み込みシート※編集厳禁)'!$A$3:$AH$501,MATCH($C66,'DB(読み込みシート※編集厳禁)'!$B$3:$B$501,0),MATCH(F$14,'DB(読み込みシート※編集厳禁)'!$A$2:$AH$2,0)),"")</f>
        <v>レッドブル</v>
      </c>
      <c r="G66" s="133" t="str">
        <f t="shared" si="8"/>
        <v>1:51:604</v>
      </c>
      <c r="H66" s="152" t="str">
        <f t="shared" si="9"/>
        <v>1:51:604</v>
      </c>
      <c r="I66" s="135">
        <v>151604.0</v>
      </c>
      <c r="J66" s="166"/>
      <c r="K66" s="137" t="s">
        <v>15</v>
      </c>
      <c r="L66" s="138" t="str">
        <f t="shared" si="10"/>
        <v>1</v>
      </c>
      <c r="M66" s="139" t="str">
        <f t="shared" si="11"/>
        <v>51</v>
      </c>
      <c r="N66" s="140" t="str">
        <f t="shared" si="12"/>
        <v>604</v>
      </c>
      <c r="O66" s="141" t="str">
        <f t="shared" si="13"/>
        <v>1:39:460</v>
      </c>
      <c r="P66" s="162" t="str">
        <f t="shared" si="14"/>
        <v>1:39:460</v>
      </c>
      <c r="Q66" s="148" t="str">
        <f t="array" ref="Q66">IFERROR(INDEX('DB(読み込みシート※編集厳禁)'!$A$3:$AH$501,MATCH($C66,'DB(読み込みシート※編集厳禁)'!$B$3:$B$501,0),MATCH(Q$14,'DB(読み込みシート※編集厳禁)'!$A$2:$AH$2,0)),"")</f>
        <v>B</v>
      </c>
      <c r="R66" s="149">
        <v>50.0</v>
      </c>
      <c r="S66" s="169" t="str">
        <f t="array" ref="S66">IFERROR(INDEX('DB(読み込みシート※編集厳禁)'!$A$3:$AH$501,MATCH($C66,'DB(読み込みシート※編集厳禁)'!$B$3:$B$501,0),MATCH(S$14,'DB(読み込みシート※編集厳禁)'!$A$2:$AH$2,0)),"")</f>
        <v>どmの</v>
      </c>
      <c r="T66" s="170" t="str">
        <f t="array" ref="T66">IFERROR(INDEX('DB(読み込みシート※編集厳禁)'!$A$3:$AH$501,MATCH($C66,'DB(読み込みシート※編集厳禁)'!$B$3:$B$501,0),MATCH(T$14,'DB(読み込みシート※編集厳禁)'!$A$2:$AH$2,0)),"")</f>
        <v>CBR600RR</v>
      </c>
      <c r="U66" s="135">
        <v>139460.0</v>
      </c>
      <c r="V66" s="166"/>
      <c r="W66" s="137" t="s">
        <v>15</v>
      </c>
      <c r="X66" s="138" t="str">
        <f t="shared" si="15"/>
        <v>1</v>
      </c>
      <c r="Y66" s="139" t="str">
        <f t="shared" si="16"/>
        <v>39</v>
      </c>
      <c r="Z66" s="144" t="str">
        <f t="shared" si="17"/>
        <v>460</v>
      </c>
      <c r="AA66" s="1"/>
      <c r="AB66" s="6"/>
      <c r="AC66" s="6"/>
      <c r="AD66" s="6"/>
      <c r="AE66" s="6"/>
      <c r="AF66" s="6"/>
      <c r="AG66" s="6">
        <f t="shared" si="18"/>
        <v>150000</v>
      </c>
      <c r="AH66" s="6">
        <f t="shared" si="19"/>
        <v>152050</v>
      </c>
      <c r="AI66" s="6" t="str">
        <f t="shared" si="20"/>
        <v>B-1</v>
      </c>
      <c r="AJ66" s="6"/>
      <c r="AK66" s="6" t="str">
        <f t="shared" si="21"/>
        <v/>
      </c>
      <c r="AL66" s="6"/>
      <c r="AM66" s="6"/>
      <c r="AN66" s="6"/>
      <c r="AO66" s="6"/>
      <c r="AP66" s="6"/>
      <c r="AQ66" s="7"/>
      <c r="AR66" s="69"/>
      <c r="AS66" s="69"/>
      <c r="AT66" s="39">
        <v>50.0</v>
      </c>
      <c r="AU66" s="69" t="str">
        <f t="array" ref="AU66">IFERROR(INDEX('DB(読み込みシート※編集厳禁)'!$A$3:$AH$501,MATCH($C66,'DB(読み込みシート※編集厳禁)'!$B$3:$B$501,0),MATCH(AU$16,'DB(読み込みシート※編集厳禁)'!$A$2:$AH$2,0)),"")</f>
        <v>いいえ</v>
      </c>
      <c r="AV66" s="69" t="str">
        <f t="array" ref="AV66">IFERROR(INDEX('DB(読み込みシート※編集厳禁)'!$A$3:$AH$501,MATCH($C66,'DB(読み込みシート※編集厳禁)'!$B$3:$B$501,0),MATCH(AV$16,'DB(読み込みシート※編集厳禁)'!$A$2:$AH$2,0)),"")</f>
        <v>いいえ</v>
      </c>
      <c r="AW66" s="69" t="str">
        <f t="shared" si="22"/>
        <v>1:51:604</v>
      </c>
      <c r="AX66" s="69" t="str">
        <f t="shared" si="23"/>
        <v>1:51:604</v>
      </c>
      <c r="AY66" s="69" t="str">
        <f t="shared" si="24"/>
        <v>-</v>
      </c>
      <c r="AZ66" s="69" t="str">
        <f t="shared" si="25"/>
        <v>1:39:460</v>
      </c>
      <c r="BA66" s="69" t="str">
        <f t="shared" si="26"/>
        <v>1:39:460</v>
      </c>
      <c r="BB66" s="69" t="str">
        <f t="shared" si="27"/>
        <v>-</v>
      </c>
      <c r="BC66" s="69" t="str">
        <f t="shared" si="28"/>
        <v>1:39:460</v>
      </c>
      <c r="BD66" s="70">
        <f t="shared" si="29"/>
        <v>1.018994734</v>
      </c>
      <c r="BE66" s="70">
        <f t="shared" si="30"/>
        <v>1.018994734</v>
      </c>
      <c r="BF66" s="147">
        <f t="shared" si="31"/>
        <v>111604</v>
      </c>
      <c r="BG66" s="147">
        <f t="shared" si="32"/>
        <v>99460</v>
      </c>
      <c r="BH66" s="1">
        <f t="shared" si="33"/>
        <v>99460</v>
      </c>
      <c r="BI66" s="1">
        <f t="shared" si="34"/>
        <v>9946050</v>
      </c>
      <c r="BJ66" s="1">
        <f t="shared" si="35"/>
        <v>200009946050</v>
      </c>
      <c r="BK66" s="1">
        <f t="shared" si="36"/>
        <v>99460</v>
      </c>
      <c r="BL66" s="1">
        <f t="shared" si="37"/>
        <v>2</v>
      </c>
      <c r="BM66" s="1" t="str">
        <f t="shared" si="38"/>
        <v>総合4</v>
      </c>
      <c r="BN66" s="1">
        <f t="shared" si="39"/>
        <v>1</v>
      </c>
      <c r="BO66" s="1" t="str">
        <f t="shared" si="40"/>
        <v>B1</v>
      </c>
      <c r="BP66" s="1" t="str">
        <f t="shared" si="41"/>
        <v>-</v>
      </c>
      <c r="BQ66" s="1" t="str">
        <f t="shared" si="42"/>
        <v>セパハン-</v>
      </c>
      <c r="BR66" s="1" t="str">
        <f t="shared" si="43"/>
        <v>-</v>
      </c>
      <c r="BS66" s="1" t="str">
        <f t="shared" si="44"/>
        <v>ミニ-</v>
      </c>
      <c r="BT66" s="1"/>
      <c r="BU66" s="1"/>
      <c r="BV66" s="1"/>
      <c r="BW66" s="1"/>
      <c r="BX66" s="1"/>
    </row>
    <row r="67">
      <c r="A67" s="1"/>
      <c r="B67" s="148" t="str">
        <f t="array" ref="B67">IFERROR(INDEX('DB(読み込みシート※編集厳禁)'!$A$3:$AH$501,MATCH($C67,'DB(読み込みシート※編集厳禁)'!$B$3:$B$501,0),MATCH(B$14,'DB(読み込みシート※編集厳禁)'!$A$2:$AH$2,0)),"")</f>
        <v>B</v>
      </c>
      <c r="C67" s="149">
        <v>51.0</v>
      </c>
      <c r="D67" s="169" t="str">
        <f t="array" ref="D67">IFERROR(INDEX('DB(読み込みシート※編集厳禁)'!$A$3:$AH$501,MATCH($C67,'DB(読み込みシート※編集厳禁)'!$B$3:$B$501,0),MATCH(D$14,'DB(読み込みシート※編集厳禁)'!$A$2:$AH$2,0)),"")</f>
        <v>motoDA</v>
      </c>
      <c r="E67" s="170" t="str">
        <f t="array" ref="E67">IFERROR(INDEX('DB(読み込みシート※編集厳禁)'!$A$3:$AH$501,MATCH($C67,'DB(読み込みシート※編集厳禁)'!$B$3:$B$501,0),MATCH(E$14,'DB(読み込みシート※編集厳禁)'!$A$2:$AH$2,0)),"")</f>
        <v>GROM</v>
      </c>
      <c r="F67" s="171" t="str">
        <f t="array" ref="F67">IFERROR(INDEX('DB(読み込みシート※編集厳禁)'!$A$3:$AH$501,MATCH($C67,'DB(読み込みシート※編集厳禁)'!$B$3:$B$501,0),MATCH(F$14,'DB(読み込みシート※編集厳禁)'!$A$2:$AH$2,0)),"")</f>
        <v>GROM王カラー</v>
      </c>
      <c r="G67" s="133" t="str">
        <f t="shared" si="8"/>
        <v>1:50:572</v>
      </c>
      <c r="H67" s="152" t="str">
        <f t="shared" si="9"/>
        <v>1:51:572</v>
      </c>
      <c r="I67" s="135">
        <v>150572.0</v>
      </c>
      <c r="J67" s="166">
        <v>1.0</v>
      </c>
      <c r="K67" s="137" t="s">
        <v>15</v>
      </c>
      <c r="L67" s="138" t="str">
        <f t="shared" si="10"/>
        <v>1</v>
      </c>
      <c r="M67" s="139" t="str">
        <f t="shared" si="11"/>
        <v>50</v>
      </c>
      <c r="N67" s="140" t="str">
        <f t="shared" si="12"/>
        <v>572</v>
      </c>
      <c r="O67" s="141" t="str">
        <f t="shared" si="13"/>
        <v>1:41:794</v>
      </c>
      <c r="P67" s="162" t="str">
        <f t="shared" si="14"/>
        <v>1:42:794</v>
      </c>
      <c r="Q67" s="148" t="str">
        <f t="array" ref="Q67">IFERROR(INDEX('DB(読み込みシート※編集厳禁)'!$A$3:$AH$501,MATCH($C67,'DB(読み込みシート※編集厳禁)'!$B$3:$B$501,0),MATCH(Q$14,'DB(読み込みシート※編集厳禁)'!$A$2:$AH$2,0)),"")</f>
        <v>B</v>
      </c>
      <c r="R67" s="149">
        <v>51.0</v>
      </c>
      <c r="S67" s="169" t="str">
        <f t="array" ref="S67">IFERROR(INDEX('DB(読み込みシート※編集厳禁)'!$A$3:$AH$501,MATCH($C67,'DB(読み込みシート※編集厳禁)'!$B$3:$B$501,0),MATCH(S$14,'DB(読み込みシート※編集厳禁)'!$A$2:$AH$2,0)),"")</f>
        <v>motoDA</v>
      </c>
      <c r="T67" s="170" t="str">
        <f t="array" ref="T67">IFERROR(INDEX('DB(読み込みシート※編集厳禁)'!$A$3:$AH$501,MATCH($C67,'DB(読み込みシート※編集厳禁)'!$B$3:$B$501,0),MATCH(T$14,'DB(読み込みシート※編集厳禁)'!$A$2:$AH$2,0)),"")</f>
        <v>GROM</v>
      </c>
      <c r="U67" s="135">
        <v>141794.0</v>
      </c>
      <c r="V67" s="166">
        <v>1.0</v>
      </c>
      <c r="W67" s="137" t="s">
        <v>15</v>
      </c>
      <c r="X67" s="138" t="str">
        <f t="shared" si="15"/>
        <v>1</v>
      </c>
      <c r="Y67" s="139" t="str">
        <f t="shared" si="16"/>
        <v>41</v>
      </c>
      <c r="Z67" s="144" t="str">
        <f t="shared" si="17"/>
        <v>794</v>
      </c>
      <c r="AA67" s="1"/>
      <c r="AB67" s="6"/>
      <c r="AC67" s="6"/>
      <c r="AD67" s="6"/>
      <c r="AE67" s="6"/>
      <c r="AF67" s="6"/>
      <c r="AG67" s="6">
        <f t="shared" si="18"/>
        <v>150000</v>
      </c>
      <c r="AH67" s="6">
        <f t="shared" si="19"/>
        <v>152051</v>
      </c>
      <c r="AI67" s="6" t="str">
        <f t="shared" si="20"/>
        <v>B-2</v>
      </c>
      <c r="AJ67" s="6"/>
      <c r="AK67" s="6" t="str">
        <f t="shared" si="21"/>
        <v/>
      </c>
      <c r="AL67" s="6"/>
      <c r="AM67" s="6"/>
      <c r="AN67" s="6"/>
      <c r="AO67" s="6"/>
      <c r="AP67" s="6"/>
      <c r="AQ67" s="7"/>
      <c r="AR67" s="69"/>
      <c r="AS67" s="69"/>
      <c r="AT67" s="39">
        <v>51.0</v>
      </c>
      <c r="AU67" s="69" t="str">
        <f t="array" ref="AU67">IFERROR(INDEX('DB(読み込みシート※編集厳禁)'!$A$3:$AH$501,MATCH($C67,'DB(読み込みシート※編集厳禁)'!$B$3:$B$501,0),MATCH(AU$16,'DB(読み込みシート※編集厳禁)'!$A$2:$AH$2,0)),"")</f>
        <v>いいえ</v>
      </c>
      <c r="AV67" s="69" t="str">
        <f t="array" ref="AV67">IFERROR(INDEX('DB(読み込みシート※編集厳禁)'!$A$3:$AH$501,MATCH($C67,'DB(読み込みシート※編集厳禁)'!$B$3:$B$501,0),MATCH(AV$16,'DB(読み込みシート※編集厳禁)'!$A$2:$AH$2,0)),"")</f>
        <v>いいえ</v>
      </c>
      <c r="AW67" s="69" t="str">
        <f t="shared" si="22"/>
        <v>1:50:572</v>
      </c>
      <c r="AX67" s="69" t="str">
        <f t="shared" si="23"/>
        <v>1:51:572</v>
      </c>
      <c r="AY67" s="69">
        <f t="shared" si="24"/>
        <v>1</v>
      </c>
      <c r="AZ67" s="69" t="str">
        <f t="shared" si="25"/>
        <v>1:41:794</v>
      </c>
      <c r="BA67" s="69" t="str">
        <f t="shared" si="26"/>
        <v>1:42:794</v>
      </c>
      <c r="BB67" s="69">
        <f t="shared" si="27"/>
        <v>1</v>
      </c>
      <c r="BC67" s="69" t="str">
        <f t="shared" si="28"/>
        <v>1:42:794</v>
      </c>
      <c r="BD67" s="70">
        <f t="shared" si="29"/>
        <v>1.05315247</v>
      </c>
      <c r="BE67" s="70">
        <f t="shared" si="30"/>
        <v>1.05315247</v>
      </c>
      <c r="BF67" s="147">
        <f t="shared" si="31"/>
        <v>111572</v>
      </c>
      <c r="BG67" s="147">
        <f t="shared" si="32"/>
        <v>102794</v>
      </c>
      <c r="BH67" s="1">
        <f t="shared" si="33"/>
        <v>102794</v>
      </c>
      <c r="BI67" s="1">
        <f t="shared" si="34"/>
        <v>10279451</v>
      </c>
      <c r="BJ67" s="1">
        <f t="shared" si="35"/>
        <v>200010279451</v>
      </c>
      <c r="BK67" s="1">
        <f t="shared" si="36"/>
        <v>102794</v>
      </c>
      <c r="BL67" s="1">
        <f t="shared" si="37"/>
        <v>6</v>
      </c>
      <c r="BM67" s="1" t="str">
        <f t="shared" si="38"/>
        <v>総合5</v>
      </c>
      <c r="BN67" s="1">
        <f t="shared" si="39"/>
        <v>2</v>
      </c>
      <c r="BO67" s="1" t="str">
        <f t="shared" si="40"/>
        <v>B2</v>
      </c>
      <c r="BP67" s="1" t="str">
        <f t="shared" si="41"/>
        <v>-</v>
      </c>
      <c r="BQ67" s="1" t="str">
        <f t="shared" si="42"/>
        <v>セパハン-</v>
      </c>
      <c r="BR67" s="1" t="str">
        <f t="shared" si="43"/>
        <v>-</v>
      </c>
      <c r="BS67" s="1" t="str">
        <f t="shared" si="44"/>
        <v>ミニ-</v>
      </c>
      <c r="BT67" s="1"/>
      <c r="BU67" s="1"/>
      <c r="BV67" s="1"/>
      <c r="BW67" s="1"/>
      <c r="BX67" s="1"/>
    </row>
    <row r="68">
      <c r="A68" s="1"/>
      <c r="B68" s="148" t="str">
        <f t="array" ref="B68">IFERROR(INDEX('DB(読み込みシート※編集厳禁)'!$A$3:$AH$501,MATCH($C68,'DB(読み込みシート※編集厳禁)'!$B$3:$B$501,0),MATCH(B$14,'DB(読み込みシート※編集厳禁)'!$A$2:$AH$2,0)),"")</f>
        <v>A</v>
      </c>
      <c r="C68" s="149">
        <v>52.0</v>
      </c>
      <c r="D68" s="169" t="str">
        <f t="array" ref="D68">IFERROR(INDEX('DB(読み込みシート※編集厳禁)'!$A$3:$AH$501,MATCH($C68,'DB(読み込みシート※編集厳禁)'!$B$3:$B$501,0),MATCH(D$14,'DB(読み込みシート※編集厳禁)'!$A$2:$AH$2,0)),"")</f>
        <v>しゃんばり</v>
      </c>
      <c r="E68" s="170" t="str">
        <f t="array" ref="E68">IFERROR(INDEX('DB(読み込みシート※編集厳禁)'!$A$3:$AH$501,MATCH($C68,'DB(読み込みシート※編集厳禁)'!$B$3:$B$501,0),MATCH(E$14,'DB(読み込みシート※編集厳禁)'!$A$2:$AH$2,0)),"")</f>
        <v>VTR</v>
      </c>
      <c r="F68" s="171" t="str">
        <f t="array" ref="F68">IFERROR(INDEX('DB(読み込みシート※編集厳禁)'!$A$3:$AH$501,MATCH($C68,'DB(読み込みシート※編集厳禁)'!$B$3:$B$501,0),MATCH(F$14,'DB(読み込みシート※編集厳禁)'!$A$2:$AH$2,0)),"")</f>
        <v>白</v>
      </c>
      <c r="G68" s="133" t="str">
        <f t="shared" si="8"/>
        <v>9:99:999</v>
      </c>
      <c r="H68" s="152" t="str">
        <f t="shared" si="9"/>
        <v>9:99:999</v>
      </c>
      <c r="I68" s="135">
        <v>146158.0</v>
      </c>
      <c r="J68" s="166"/>
      <c r="K68" s="137" t="s">
        <v>9</v>
      </c>
      <c r="L68" s="138" t="str">
        <f t="shared" si="10"/>
        <v>1</v>
      </c>
      <c r="M68" s="139" t="str">
        <f t="shared" si="11"/>
        <v>46</v>
      </c>
      <c r="N68" s="140" t="str">
        <f t="shared" si="12"/>
        <v>158</v>
      </c>
      <c r="O68" s="141" t="str">
        <f t="shared" si="13"/>
        <v>9:99:999</v>
      </c>
      <c r="P68" s="162" t="str">
        <f t="shared" si="14"/>
        <v>9:99:999</v>
      </c>
      <c r="Q68" s="148" t="str">
        <f t="array" ref="Q68">IFERROR(INDEX('DB(読み込みシート※編集厳禁)'!$A$3:$AH$501,MATCH($C68,'DB(読み込みシート※編集厳禁)'!$B$3:$B$501,0),MATCH(Q$14,'DB(読み込みシート※編集厳禁)'!$A$2:$AH$2,0)),"")</f>
        <v>A</v>
      </c>
      <c r="R68" s="149">
        <v>52.0</v>
      </c>
      <c r="S68" s="169" t="str">
        <f t="array" ref="S68">IFERROR(INDEX('DB(読み込みシート※編集厳禁)'!$A$3:$AH$501,MATCH($C68,'DB(読み込みシート※編集厳禁)'!$B$3:$B$501,0),MATCH(S$14,'DB(読み込みシート※編集厳禁)'!$A$2:$AH$2,0)),"")</f>
        <v>しゃんばり</v>
      </c>
      <c r="T68" s="170" t="str">
        <f t="array" ref="T68">IFERROR(INDEX('DB(読み込みシート※編集厳禁)'!$A$3:$AH$501,MATCH($C68,'DB(読み込みシート※編集厳禁)'!$B$3:$B$501,0),MATCH(T$14,'DB(読み込みシート※編集厳禁)'!$A$2:$AH$2,0)),"")</f>
        <v>VTR</v>
      </c>
      <c r="U68" s="135"/>
      <c r="V68" s="166"/>
      <c r="W68" s="137" t="s">
        <v>9</v>
      </c>
      <c r="X68" s="138" t="str">
        <f t="shared" si="15"/>
        <v/>
      </c>
      <c r="Y68" s="139" t="str">
        <f t="shared" si="16"/>
        <v/>
      </c>
      <c r="Z68" s="144" t="str">
        <f t="shared" si="17"/>
        <v/>
      </c>
      <c r="AA68" s="1"/>
      <c r="AB68" s="6"/>
      <c r="AC68" s="6"/>
      <c r="AD68" s="6"/>
      <c r="AE68" s="6"/>
      <c r="AF68" s="6"/>
      <c r="AG68" s="6">
        <f t="shared" si="18"/>
        <v>80000</v>
      </c>
      <c r="AH68" s="6">
        <f t="shared" si="19"/>
        <v>81052</v>
      </c>
      <c r="AI68" s="6" t="str">
        <f t="shared" si="20"/>
        <v>A-3</v>
      </c>
      <c r="AJ68" s="6"/>
      <c r="AK68" s="6" t="str">
        <f t="shared" si="21"/>
        <v/>
      </c>
      <c r="AL68" s="6"/>
      <c r="AM68" s="6"/>
      <c r="AN68" s="6"/>
      <c r="AO68" s="6"/>
      <c r="AP68" s="6"/>
      <c r="AQ68" s="7"/>
      <c r="AR68" s="69"/>
      <c r="AS68" s="69"/>
      <c r="AT68" s="39">
        <v>52.0</v>
      </c>
      <c r="AU68" s="69" t="str">
        <f t="array" ref="AU68">IFERROR(INDEX('DB(読み込みシート※編集厳禁)'!$A$3:$AH$501,MATCH($C68,'DB(読み込みシート※編集厳禁)'!$B$3:$B$501,0),MATCH(AU$16,'DB(読み込みシート※編集厳禁)'!$A$2:$AH$2,0)),"")</f>
        <v>いいえ</v>
      </c>
      <c r="AV68" s="69" t="str">
        <f t="array" ref="AV68">IFERROR(INDEX('DB(読み込みシート※編集厳禁)'!$A$3:$AH$501,MATCH($C68,'DB(読み込みシート※編集厳禁)'!$B$3:$B$501,0),MATCH(AV$16,'DB(読み込みシート※編集厳禁)'!$A$2:$AH$2,0)),"")</f>
        <v>いいえ</v>
      </c>
      <c r="AW68" s="69" t="str">
        <f t="shared" si="22"/>
        <v>9:99:999</v>
      </c>
      <c r="AX68" s="69" t="str">
        <f t="shared" si="23"/>
        <v>9:99:999</v>
      </c>
      <c r="AY68" s="69" t="str">
        <f t="shared" si="24"/>
        <v>MC</v>
      </c>
      <c r="AZ68" s="69" t="str">
        <f t="shared" si="25"/>
        <v>9:99:999</v>
      </c>
      <c r="BA68" s="69" t="str">
        <f t="shared" si="26"/>
        <v>9:99:999</v>
      </c>
      <c r="BB68" s="69" t="str">
        <f t="shared" si="27"/>
        <v>MC</v>
      </c>
      <c r="BC68" s="69" t="str">
        <f t="shared" si="28"/>
        <v>9:99:999</v>
      </c>
      <c r="BD68" s="70" t="str">
        <f t="shared" si="29"/>
        <v>-</v>
      </c>
      <c r="BE68" s="70" t="str">
        <f t="shared" si="30"/>
        <v>-</v>
      </c>
      <c r="BF68" s="1">
        <f t="shared" si="31"/>
        <v>999999</v>
      </c>
      <c r="BG68" s="1">
        <f t="shared" si="32"/>
        <v>999999</v>
      </c>
      <c r="BH68" s="1">
        <f t="shared" si="33"/>
        <v>999999</v>
      </c>
      <c r="BI68" s="1">
        <f t="shared" si="34"/>
        <v>99999952</v>
      </c>
      <c r="BJ68" s="1">
        <f t="shared" si="35"/>
        <v>100099999952</v>
      </c>
      <c r="BK68" s="1">
        <f t="shared" si="36"/>
        <v>999999</v>
      </c>
      <c r="BL68" s="1">
        <f t="shared" si="37"/>
        <v>51</v>
      </c>
      <c r="BM68" s="1" t="str">
        <f t="shared" si="38"/>
        <v>総合3</v>
      </c>
      <c r="BN68" s="1">
        <f t="shared" si="39"/>
        <v>3</v>
      </c>
      <c r="BO68" s="1" t="str">
        <f t="shared" si="40"/>
        <v>A3</v>
      </c>
      <c r="BP68" s="1" t="str">
        <f t="shared" si="41"/>
        <v>-</v>
      </c>
      <c r="BQ68" s="1" t="str">
        <f t="shared" si="42"/>
        <v>セパハン-</v>
      </c>
      <c r="BR68" s="1" t="str">
        <f t="shared" si="43"/>
        <v>-</v>
      </c>
      <c r="BS68" s="1" t="str">
        <f t="shared" si="44"/>
        <v>ミニ-</v>
      </c>
      <c r="BT68" s="1"/>
      <c r="BU68" s="1"/>
      <c r="BV68" s="1"/>
      <c r="BW68" s="1"/>
      <c r="BX68" s="1"/>
    </row>
    <row r="69">
      <c r="A69" s="1"/>
      <c r="B69" s="148" t="str">
        <f t="array" ref="B69">IFERROR(INDEX('DB(読み込みシート※編集厳禁)'!$A$3:$AH$501,MATCH($C69,'DB(読み込みシート※編集厳禁)'!$B$3:$B$501,0),MATCH(B$14,'DB(読み込みシート※編集厳禁)'!$A$2:$AH$2,0)),"")</f>
        <v>A</v>
      </c>
      <c r="C69" s="149">
        <v>53.0</v>
      </c>
      <c r="D69" s="169" t="str">
        <f t="array" ref="D69">IFERROR(INDEX('DB(読み込みシート※編集厳禁)'!$A$3:$AH$501,MATCH($C69,'DB(読み込みシート※編集厳禁)'!$B$3:$B$501,0),MATCH(D$14,'DB(読み込みシート※編集厳禁)'!$A$2:$AH$2,0)),"")</f>
        <v>ray</v>
      </c>
      <c r="E69" s="170" t="str">
        <f t="array" ref="E69">IFERROR(INDEX('DB(読み込みシート※編集厳禁)'!$A$3:$AH$501,MATCH($C69,'DB(読み込みシート※編集厳禁)'!$B$3:$B$501,0),MATCH(E$14,'DB(読み込みシート※編集厳禁)'!$A$2:$AH$2,0)),"")</f>
        <v>YZ250X</v>
      </c>
      <c r="F69" s="171" t="str">
        <f t="array" ref="F69">IFERROR(INDEX('DB(読み込みシート※編集厳禁)'!$A$3:$AH$501,MATCH($C69,'DB(読み込みシート※編集厳禁)'!$B$3:$B$501,0),MATCH(F$14,'DB(読み込みシート※編集厳禁)'!$A$2:$AH$2,0)),"")</f>
        <v>緑</v>
      </c>
      <c r="G69" s="133" t="str">
        <f t="shared" si="8"/>
        <v>1:39:220</v>
      </c>
      <c r="H69" s="152" t="str">
        <f t="shared" si="9"/>
        <v>1:40:220</v>
      </c>
      <c r="I69" s="135">
        <v>139220.0</v>
      </c>
      <c r="J69" s="166">
        <v>1.0</v>
      </c>
      <c r="K69" s="137" t="s">
        <v>15</v>
      </c>
      <c r="L69" s="138" t="str">
        <f t="shared" si="10"/>
        <v>1</v>
      </c>
      <c r="M69" s="139" t="str">
        <f t="shared" si="11"/>
        <v>39</v>
      </c>
      <c r="N69" s="140" t="str">
        <f t="shared" si="12"/>
        <v>220</v>
      </c>
      <c r="O69" s="141" t="str">
        <f t="shared" si="13"/>
        <v>9:99:999</v>
      </c>
      <c r="P69" s="162" t="str">
        <f t="shared" si="14"/>
        <v>9:99:999</v>
      </c>
      <c r="Q69" s="148" t="str">
        <f t="array" ref="Q69">IFERROR(INDEX('DB(読み込みシート※編集厳禁)'!$A$3:$AH$501,MATCH($C69,'DB(読み込みシート※編集厳禁)'!$B$3:$B$501,0),MATCH(Q$14,'DB(読み込みシート※編集厳禁)'!$A$2:$AH$2,0)),"")</f>
        <v>A</v>
      </c>
      <c r="R69" s="149">
        <v>53.0</v>
      </c>
      <c r="S69" s="169" t="str">
        <f t="array" ref="S69">IFERROR(INDEX('DB(読み込みシート※編集厳禁)'!$A$3:$AH$501,MATCH($C69,'DB(読み込みシート※編集厳禁)'!$B$3:$B$501,0),MATCH(S$14,'DB(読み込みシート※編集厳禁)'!$A$2:$AH$2,0)),"")</f>
        <v>ray</v>
      </c>
      <c r="T69" s="170" t="str">
        <f t="array" ref="T69">IFERROR(INDEX('DB(読み込みシート※編集厳禁)'!$A$3:$AH$501,MATCH($C69,'DB(読み込みシート※編集厳禁)'!$B$3:$B$501,0),MATCH(T$14,'DB(読み込みシート※編集厳禁)'!$A$2:$AH$2,0)),"")</f>
        <v>YZ250X</v>
      </c>
      <c r="U69" s="135"/>
      <c r="V69" s="166"/>
      <c r="W69" s="137" t="s">
        <v>9</v>
      </c>
      <c r="X69" s="138" t="str">
        <f t="shared" si="15"/>
        <v/>
      </c>
      <c r="Y69" s="139" t="str">
        <f t="shared" si="16"/>
        <v/>
      </c>
      <c r="Z69" s="144" t="str">
        <f t="shared" si="17"/>
        <v/>
      </c>
      <c r="AA69" s="1"/>
      <c r="AB69" s="6"/>
      <c r="AC69" s="6"/>
      <c r="AD69" s="6"/>
      <c r="AE69" s="6"/>
      <c r="AF69" s="6"/>
      <c r="AG69" s="6">
        <f t="shared" si="18"/>
        <v>80000</v>
      </c>
      <c r="AH69" s="6">
        <f t="shared" si="19"/>
        <v>81053</v>
      </c>
      <c r="AI69" s="6" t="str">
        <f t="shared" si="20"/>
        <v>A-2</v>
      </c>
      <c r="AJ69" s="6"/>
      <c r="AK69" s="6" t="str">
        <f t="shared" si="21"/>
        <v/>
      </c>
      <c r="AL69" s="6"/>
      <c r="AM69" s="6"/>
      <c r="AN69" s="6"/>
      <c r="AO69" s="6"/>
      <c r="AP69" s="6"/>
      <c r="AQ69" s="7"/>
      <c r="AR69" s="69"/>
      <c r="AS69" s="69"/>
      <c r="AT69" s="39">
        <v>53.0</v>
      </c>
      <c r="AU69" s="69" t="str">
        <f t="array" ref="AU69">IFERROR(INDEX('DB(読み込みシート※編集厳禁)'!$A$3:$AH$501,MATCH($C69,'DB(読み込みシート※編集厳禁)'!$B$3:$B$501,0),MATCH(AU$16,'DB(読み込みシート※編集厳禁)'!$A$2:$AH$2,0)),"")</f>
        <v>いいえ</v>
      </c>
      <c r="AV69" s="69" t="str">
        <f t="array" ref="AV69">IFERROR(INDEX('DB(読み込みシート※編集厳禁)'!$A$3:$AH$501,MATCH($C69,'DB(読み込みシート※編集厳禁)'!$B$3:$B$501,0),MATCH(AV$16,'DB(読み込みシート※編集厳禁)'!$A$2:$AH$2,0)),"")</f>
        <v>いいえ</v>
      </c>
      <c r="AW69" s="69" t="str">
        <f t="shared" si="22"/>
        <v>1:39:220</v>
      </c>
      <c r="AX69" s="69" t="str">
        <f t="shared" si="23"/>
        <v>1:40:220</v>
      </c>
      <c r="AY69" s="69">
        <f t="shared" si="24"/>
        <v>1</v>
      </c>
      <c r="AZ69" s="69" t="str">
        <f t="shared" si="25"/>
        <v>9:99:999</v>
      </c>
      <c r="BA69" s="69" t="str">
        <f t="shared" si="26"/>
        <v>9:99:999</v>
      </c>
      <c r="BB69" s="69" t="str">
        <f t="shared" si="27"/>
        <v>MC</v>
      </c>
      <c r="BC69" s="69" t="str">
        <f t="shared" si="28"/>
        <v>1:40:220</v>
      </c>
      <c r="BD69" s="70">
        <f t="shared" si="29"/>
        <v>1.026781141</v>
      </c>
      <c r="BE69" s="70">
        <f t="shared" si="30"/>
        <v>1.026781141</v>
      </c>
      <c r="BF69" s="147">
        <f t="shared" si="31"/>
        <v>100220</v>
      </c>
      <c r="BG69" s="1">
        <f t="shared" si="32"/>
        <v>999999</v>
      </c>
      <c r="BH69" s="1">
        <f t="shared" si="33"/>
        <v>100220</v>
      </c>
      <c r="BI69" s="1">
        <f t="shared" si="34"/>
        <v>10022053</v>
      </c>
      <c r="BJ69" s="1">
        <f t="shared" si="35"/>
        <v>100010022053</v>
      </c>
      <c r="BK69" s="1">
        <f t="shared" si="36"/>
        <v>100220</v>
      </c>
      <c r="BL69" s="1">
        <f t="shared" si="37"/>
        <v>3</v>
      </c>
      <c r="BM69" s="1" t="str">
        <f t="shared" si="38"/>
        <v>総合2</v>
      </c>
      <c r="BN69" s="1">
        <f t="shared" si="39"/>
        <v>2</v>
      </c>
      <c r="BO69" s="1" t="str">
        <f t="shared" si="40"/>
        <v>A2</v>
      </c>
      <c r="BP69" s="1" t="str">
        <f t="shared" si="41"/>
        <v>-</v>
      </c>
      <c r="BQ69" s="1" t="str">
        <f t="shared" si="42"/>
        <v>セパハン-</v>
      </c>
      <c r="BR69" s="1" t="str">
        <f t="shared" si="43"/>
        <v>-</v>
      </c>
      <c r="BS69" s="1" t="str">
        <f t="shared" si="44"/>
        <v>ミニ-</v>
      </c>
      <c r="BT69" s="1"/>
      <c r="BU69" s="1"/>
      <c r="BV69" s="1"/>
      <c r="BW69" s="1"/>
      <c r="BX69" s="1"/>
    </row>
    <row r="70">
      <c r="A70" s="1"/>
      <c r="B70" s="148" t="str">
        <f t="array" ref="B70">IFERROR(INDEX('DB(読み込みシート※編集厳禁)'!$A$3:$AH$501,MATCH($C70,'DB(読み込みシート※編集厳禁)'!$B$3:$B$501,0),MATCH(B$14,'DB(読み込みシート※編集厳禁)'!$A$2:$AH$2,0)),"")</f>
        <v>A</v>
      </c>
      <c r="C70" s="149">
        <v>54.0</v>
      </c>
      <c r="D70" s="169" t="str">
        <f t="array" ref="D70">IFERROR(INDEX('DB(読み込みシート※編集厳禁)'!$A$3:$AH$501,MATCH($C70,'DB(読み込みシート※編集厳禁)'!$B$3:$B$501,0),MATCH(D$14,'DB(読み込みシート※編集厳禁)'!$A$2:$AH$2,0)),"")</f>
        <v>OKOK</v>
      </c>
      <c r="E70" s="170" t="str">
        <f t="array" ref="E70">IFERROR(INDEX('DB(読み込みシート※編集厳禁)'!$A$3:$AH$501,MATCH($C70,'DB(読み込みシート※編集厳禁)'!$B$3:$B$501,0),MATCH(E$14,'DB(読み込みシート※編集厳禁)'!$A$2:$AH$2,0)),"")</f>
        <v>NSR250</v>
      </c>
      <c r="F70" s="171" t="str">
        <f t="array" ref="F70">IFERROR(INDEX('DB(読み込みシート※編集厳禁)'!$A$3:$AH$501,MATCH($C70,'DB(読み込みシート※編集厳禁)'!$B$3:$B$501,0),MATCH(F$14,'DB(読み込みシート※編集厳禁)'!$A$2:$AH$2,0)),"")</f>
        <v>赤白</v>
      </c>
      <c r="G70" s="133" t="str">
        <f t="shared" si="8"/>
        <v>1:37:606</v>
      </c>
      <c r="H70" s="152" t="str">
        <f t="shared" si="9"/>
        <v>1:37:606</v>
      </c>
      <c r="I70" s="135">
        <v>137606.0</v>
      </c>
      <c r="J70" s="166"/>
      <c r="K70" s="137" t="s">
        <v>15</v>
      </c>
      <c r="L70" s="138" t="str">
        <f t="shared" si="10"/>
        <v>1</v>
      </c>
      <c r="M70" s="139" t="str">
        <f t="shared" si="11"/>
        <v>37</v>
      </c>
      <c r="N70" s="140" t="str">
        <f t="shared" si="12"/>
        <v>606</v>
      </c>
      <c r="O70" s="141" t="str">
        <f t="shared" si="13"/>
        <v>1:37:784</v>
      </c>
      <c r="P70" s="162" t="str">
        <f t="shared" si="14"/>
        <v>1:37:784</v>
      </c>
      <c r="Q70" s="148" t="str">
        <f t="array" ref="Q70">IFERROR(INDEX('DB(読み込みシート※編集厳禁)'!$A$3:$AH$501,MATCH($C70,'DB(読み込みシート※編集厳禁)'!$B$3:$B$501,0),MATCH(Q$14,'DB(読み込みシート※編集厳禁)'!$A$2:$AH$2,0)),"")</f>
        <v>A</v>
      </c>
      <c r="R70" s="149">
        <v>54.0</v>
      </c>
      <c r="S70" s="169" t="str">
        <f t="array" ref="S70">IFERROR(INDEX('DB(読み込みシート※編集厳禁)'!$A$3:$AH$501,MATCH($C70,'DB(読み込みシート※編集厳禁)'!$B$3:$B$501,0),MATCH(S$14,'DB(読み込みシート※編集厳禁)'!$A$2:$AH$2,0)),"")</f>
        <v>OKOK</v>
      </c>
      <c r="T70" s="170" t="str">
        <f t="array" ref="T70">IFERROR(INDEX('DB(読み込みシート※編集厳禁)'!$A$3:$AH$501,MATCH($C70,'DB(読み込みシート※編集厳禁)'!$B$3:$B$501,0),MATCH(T$14,'DB(読み込みシート※編集厳禁)'!$A$2:$AH$2,0)),"")</f>
        <v>NSR250</v>
      </c>
      <c r="U70" s="135">
        <v>137784.0</v>
      </c>
      <c r="V70" s="166"/>
      <c r="W70" s="137" t="s">
        <v>15</v>
      </c>
      <c r="X70" s="138" t="str">
        <f t="shared" si="15"/>
        <v>1</v>
      </c>
      <c r="Y70" s="139" t="str">
        <f t="shared" si="16"/>
        <v>37</v>
      </c>
      <c r="Z70" s="144" t="str">
        <f t="shared" si="17"/>
        <v>784</v>
      </c>
      <c r="AA70" s="1"/>
      <c r="AB70" s="6"/>
      <c r="AC70" s="6"/>
      <c r="AD70" s="6"/>
      <c r="AE70" s="6"/>
      <c r="AF70" s="6"/>
      <c r="AG70" s="6">
        <f t="shared" si="18"/>
        <v>160000</v>
      </c>
      <c r="AH70" s="6">
        <f t="shared" si="19"/>
        <v>162054</v>
      </c>
      <c r="AI70" s="6" t="str">
        <f t="shared" si="20"/>
        <v>A-1</v>
      </c>
      <c r="AJ70" s="6"/>
      <c r="AK70" s="6">
        <f t="shared" si="21"/>
        <v>1</v>
      </c>
      <c r="AL70" s="6"/>
      <c r="AM70" s="6"/>
      <c r="AN70" s="6"/>
      <c r="AO70" s="6"/>
      <c r="AP70" s="6"/>
      <c r="AQ70" s="7"/>
      <c r="AR70" s="69"/>
      <c r="AS70" s="69"/>
      <c r="AT70" s="39">
        <v>54.0</v>
      </c>
      <c r="AU70" s="69" t="str">
        <f t="array" ref="AU70">IFERROR(INDEX('DB(読み込みシート※編集厳禁)'!$A$3:$AH$501,MATCH($C70,'DB(読み込みシート※編集厳禁)'!$B$3:$B$501,0),MATCH(AU$16,'DB(読み込みシート※編集厳禁)'!$A$2:$AH$2,0)),"")</f>
        <v>いいえ</v>
      </c>
      <c r="AV70" s="69" t="str">
        <f t="array" ref="AV70">IFERROR(INDEX('DB(読み込みシート※編集厳禁)'!$A$3:$AH$501,MATCH($C70,'DB(読み込みシート※編集厳禁)'!$B$3:$B$501,0),MATCH(AV$16,'DB(読み込みシート※編集厳禁)'!$A$2:$AH$2,0)),"")</f>
        <v>いいえ</v>
      </c>
      <c r="AW70" s="69" t="str">
        <f t="shared" si="22"/>
        <v>1:37:606</v>
      </c>
      <c r="AX70" s="69" t="str">
        <f t="shared" si="23"/>
        <v>1:37:606</v>
      </c>
      <c r="AY70" s="69" t="str">
        <f t="shared" si="24"/>
        <v>-</v>
      </c>
      <c r="AZ70" s="69" t="str">
        <f t="shared" si="25"/>
        <v>1:37:784</v>
      </c>
      <c r="BA70" s="69" t="str">
        <f t="shared" si="26"/>
        <v>1:37:784</v>
      </c>
      <c r="BB70" s="69" t="str">
        <f t="shared" si="27"/>
        <v>-</v>
      </c>
      <c r="BC70" s="69" t="str">
        <f t="shared" si="28"/>
        <v>1:37:606</v>
      </c>
      <c r="BD70" s="70">
        <f t="shared" si="29"/>
        <v>1</v>
      </c>
      <c r="BE70" s="70">
        <f t="shared" si="30"/>
        <v>1</v>
      </c>
      <c r="BF70" s="147">
        <f t="shared" si="31"/>
        <v>97606</v>
      </c>
      <c r="BG70" s="147">
        <f t="shared" si="32"/>
        <v>97784</v>
      </c>
      <c r="BH70" s="1">
        <f t="shared" si="33"/>
        <v>97606</v>
      </c>
      <c r="BI70" s="1">
        <f t="shared" si="34"/>
        <v>9760654</v>
      </c>
      <c r="BJ70" s="1">
        <f t="shared" si="35"/>
        <v>100009760654</v>
      </c>
      <c r="BK70" s="1">
        <f t="shared" si="36"/>
        <v>97606</v>
      </c>
      <c r="BL70" s="1">
        <f t="shared" si="37"/>
        <v>1</v>
      </c>
      <c r="BM70" s="1" t="str">
        <f t="shared" si="38"/>
        <v>総合1</v>
      </c>
      <c r="BN70" s="1">
        <f t="shared" si="39"/>
        <v>1</v>
      </c>
      <c r="BO70" s="1" t="str">
        <f t="shared" si="40"/>
        <v>A1</v>
      </c>
      <c r="BP70" s="1" t="str">
        <f t="shared" si="41"/>
        <v>-</v>
      </c>
      <c r="BQ70" s="1" t="str">
        <f t="shared" si="42"/>
        <v>セパハン-</v>
      </c>
      <c r="BR70" s="1" t="str">
        <f t="shared" si="43"/>
        <v>-</v>
      </c>
      <c r="BS70" s="1" t="str">
        <f t="shared" si="44"/>
        <v>ミニ-</v>
      </c>
      <c r="BT70" s="1"/>
      <c r="BU70" s="1"/>
      <c r="BV70" s="1"/>
      <c r="BW70" s="1"/>
      <c r="BX70" s="1"/>
    </row>
    <row r="71">
      <c r="A71" s="1"/>
      <c r="B71" s="148" t="str">
        <f t="array" ref="B71">IFERROR(INDEX('DB(読み込みシート※編集厳禁)'!$A$3:$AH$501,MATCH($C71,'DB(読み込みシート※編集厳禁)'!$B$3:$B$501,0),MATCH(B$14,'DB(読み込みシート※編集厳禁)'!$A$2:$AH$2,0)),"")</f>
        <v/>
      </c>
      <c r="C71" s="149">
        <v>55.0</v>
      </c>
      <c r="D71" s="169" t="str">
        <f t="array" ref="D71">IFERROR(INDEX('DB(読み込みシート※編集厳禁)'!$A$3:$AH$501,MATCH($C71,'DB(読み込みシート※編集厳禁)'!$B$3:$B$501,0),MATCH(D$14,'DB(読み込みシート※編集厳禁)'!$A$2:$AH$2,0)),"")</f>
        <v/>
      </c>
      <c r="E71" s="170" t="str">
        <f t="array" ref="E71">IFERROR(INDEX('DB(読み込みシート※編集厳禁)'!$A$3:$AH$501,MATCH($C71,'DB(読み込みシート※編集厳禁)'!$B$3:$B$501,0),MATCH(E$14,'DB(読み込みシート※編集厳禁)'!$A$2:$AH$2,0)),"")</f>
        <v/>
      </c>
      <c r="F71" s="171" t="str">
        <f t="array" ref="F71">IFERROR(INDEX('DB(読み込みシート※編集厳禁)'!$A$3:$AH$501,MATCH($C71,'DB(読み込みシート※編集厳禁)'!$B$3:$B$501,0),MATCH(F$14,'DB(読み込みシート※編集厳禁)'!$A$2:$AH$2,0)),"")</f>
        <v/>
      </c>
      <c r="G71" s="133" t="str">
        <f t="shared" si="8"/>
        <v/>
      </c>
      <c r="H71" s="152" t="str">
        <f t="shared" si="9"/>
        <v>:00:000</v>
      </c>
      <c r="I71" s="135"/>
      <c r="J71" s="166"/>
      <c r="K71" s="137" t="s">
        <v>15</v>
      </c>
      <c r="L71" s="138" t="str">
        <f t="shared" si="10"/>
        <v/>
      </c>
      <c r="M71" s="139" t="str">
        <f t="shared" si="11"/>
        <v/>
      </c>
      <c r="N71" s="140" t="str">
        <f t="shared" si="12"/>
        <v/>
      </c>
      <c r="O71" s="141" t="str">
        <f t="shared" si="13"/>
        <v/>
      </c>
      <c r="P71" s="162" t="str">
        <f t="shared" si="14"/>
        <v>:00:000</v>
      </c>
      <c r="Q71" s="148" t="str">
        <f t="array" ref="Q71">IFERROR(INDEX('DB(読み込みシート※編集厳禁)'!$A$3:$AH$501,MATCH($C71,'DB(読み込みシート※編集厳禁)'!$B$3:$B$501,0),MATCH(Q$14,'DB(読み込みシート※編集厳禁)'!$A$2:$AH$2,0)),"")</f>
        <v/>
      </c>
      <c r="R71" s="149">
        <v>55.0</v>
      </c>
      <c r="S71" s="169" t="str">
        <f t="array" ref="S71">IFERROR(INDEX('DB(読み込みシート※編集厳禁)'!$A$3:$AH$501,MATCH($C71,'DB(読み込みシート※編集厳禁)'!$B$3:$B$501,0),MATCH(S$14,'DB(読み込みシート※編集厳禁)'!$A$2:$AH$2,0)),"")</f>
        <v/>
      </c>
      <c r="T71" s="170" t="str">
        <f t="array" ref="T71">IFERROR(INDEX('DB(読み込みシート※編集厳禁)'!$A$3:$AH$501,MATCH($C71,'DB(読み込みシート※編集厳禁)'!$B$3:$B$501,0),MATCH(T$14,'DB(読み込みシート※編集厳禁)'!$A$2:$AH$2,0)),"")</f>
        <v/>
      </c>
      <c r="U71" s="135"/>
      <c r="V71" s="166"/>
      <c r="W71" s="137" t="s">
        <v>15</v>
      </c>
      <c r="X71" s="138" t="str">
        <f t="shared" si="15"/>
        <v/>
      </c>
      <c r="Y71" s="139" t="str">
        <f t="shared" si="16"/>
        <v/>
      </c>
      <c r="Z71" s="144" t="str">
        <f t="shared" si="17"/>
        <v/>
      </c>
      <c r="AA71" s="1"/>
      <c r="AB71" s="6"/>
      <c r="AC71" s="6"/>
      <c r="AD71" s="6"/>
      <c r="AE71" s="6"/>
      <c r="AF71" s="6"/>
      <c r="AG71" s="6" t="str">
        <f t="shared" si="18"/>
        <v/>
      </c>
      <c r="AH71" s="6" t="str">
        <f t="shared" si="19"/>
        <v/>
      </c>
      <c r="AI71" s="6" t="str">
        <f t="shared" si="20"/>
        <v>-</v>
      </c>
      <c r="AJ71" s="6"/>
      <c r="AK71" s="6" t="str">
        <f t="shared" si="21"/>
        <v/>
      </c>
      <c r="AL71" s="6"/>
      <c r="AM71" s="6"/>
      <c r="AN71" s="6"/>
      <c r="AO71" s="6"/>
      <c r="AP71" s="6"/>
      <c r="AQ71" s="7"/>
      <c r="AR71" s="69"/>
      <c r="AS71" s="69"/>
      <c r="AT71" s="39">
        <v>55.0</v>
      </c>
      <c r="AU71" s="69" t="str">
        <f t="array" ref="AU71">IFERROR(INDEX('DB(読み込みシート※編集厳禁)'!$A$3:$AH$501,MATCH($C71,'DB(読み込みシート※編集厳禁)'!$B$3:$B$501,0),MATCH(AU$16,'DB(読み込みシート※編集厳禁)'!$A$2:$AH$2,0)),"")</f>
        <v/>
      </c>
      <c r="AV71" s="69" t="str">
        <f t="array" ref="AV71">IFERROR(INDEX('DB(読み込みシート※編集厳禁)'!$A$3:$AH$501,MATCH($C71,'DB(読み込みシート※編集厳禁)'!$B$3:$B$501,0),MATCH(AV$16,'DB(読み込みシート※編集厳禁)'!$A$2:$AH$2,0)),"")</f>
        <v/>
      </c>
      <c r="AW71" s="69" t="str">
        <f t="shared" si="22"/>
        <v/>
      </c>
      <c r="AX71" s="69" t="str">
        <f t="shared" si="23"/>
        <v/>
      </c>
      <c r="AY71" s="69" t="str">
        <f t="shared" si="24"/>
        <v/>
      </c>
      <c r="AZ71" s="69" t="str">
        <f t="shared" si="25"/>
        <v/>
      </c>
      <c r="BA71" s="69" t="str">
        <f t="shared" si="26"/>
        <v/>
      </c>
      <c r="BB71" s="69" t="str">
        <f t="shared" si="27"/>
        <v/>
      </c>
      <c r="BC71" s="69" t="str">
        <f t="shared" si="28"/>
        <v/>
      </c>
      <c r="BD71" s="70" t="str">
        <f t="shared" si="29"/>
        <v/>
      </c>
      <c r="BE71" s="70" t="str">
        <f t="shared" si="30"/>
        <v/>
      </c>
      <c r="BF71" s="1" t="str">
        <f t="shared" si="31"/>
        <v/>
      </c>
      <c r="BG71" s="1" t="str">
        <f t="shared" si="32"/>
        <v/>
      </c>
      <c r="BH71" s="1" t="str">
        <f t="shared" si="33"/>
        <v/>
      </c>
      <c r="BI71" s="1" t="str">
        <f t="shared" si="34"/>
        <v/>
      </c>
      <c r="BJ71" s="1" t="str">
        <f t="shared" si="35"/>
        <v/>
      </c>
      <c r="BK71" s="1" t="str">
        <f t="shared" si="36"/>
        <v/>
      </c>
      <c r="BL71" s="1" t="str">
        <f t="shared" si="37"/>
        <v/>
      </c>
      <c r="BM71" s="1" t="str">
        <f t="shared" si="38"/>
        <v/>
      </c>
      <c r="BN71" s="1" t="str">
        <f t="shared" si="39"/>
        <v/>
      </c>
      <c r="BO71" s="1" t="str">
        <f t="shared" si="40"/>
        <v/>
      </c>
      <c r="BP71" s="1" t="str">
        <f t="shared" si="41"/>
        <v/>
      </c>
      <c r="BQ71" s="1" t="str">
        <f t="shared" si="42"/>
        <v/>
      </c>
      <c r="BR71" s="1" t="str">
        <f t="shared" si="43"/>
        <v/>
      </c>
      <c r="BS71" s="1" t="str">
        <f t="shared" si="44"/>
        <v/>
      </c>
      <c r="BT71" s="1"/>
      <c r="BU71" s="1"/>
      <c r="BV71" s="1"/>
      <c r="BW71" s="1"/>
      <c r="BX71" s="1"/>
    </row>
    <row r="72">
      <c r="A72" s="1"/>
      <c r="B72" s="148" t="str">
        <f t="array" ref="B72">IFERROR(INDEX('DB(読み込みシート※編集厳禁)'!$A$3:$AH$501,MATCH($C72,'DB(読み込みシート※編集厳禁)'!$B$3:$B$501,0),MATCH(B$14,'DB(読み込みシート※編集厳禁)'!$A$2:$AH$2,0)),"")</f>
        <v/>
      </c>
      <c r="C72" s="149">
        <v>56.0</v>
      </c>
      <c r="D72" s="169" t="str">
        <f t="array" ref="D72">IFERROR(INDEX('DB(読み込みシート※編集厳禁)'!$A$3:$AH$501,MATCH($C72,'DB(読み込みシート※編集厳禁)'!$B$3:$B$501,0),MATCH(D$14,'DB(読み込みシート※編集厳禁)'!$A$2:$AH$2,0)),"")</f>
        <v/>
      </c>
      <c r="E72" s="170" t="str">
        <f t="array" ref="E72">IFERROR(INDEX('DB(読み込みシート※編集厳禁)'!$A$3:$AH$501,MATCH($C72,'DB(読み込みシート※編集厳禁)'!$B$3:$B$501,0),MATCH(E$14,'DB(読み込みシート※編集厳禁)'!$A$2:$AH$2,0)),"")</f>
        <v/>
      </c>
      <c r="F72" s="171" t="str">
        <f t="array" ref="F72">IFERROR(INDEX('DB(読み込みシート※編集厳禁)'!$A$3:$AH$501,MATCH($C72,'DB(読み込みシート※編集厳禁)'!$B$3:$B$501,0),MATCH(F$14,'DB(読み込みシート※編集厳禁)'!$A$2:$AH$2,0)),"")</f>
        <v/>
      </c>
      <c r="G72" s="133" t="str">
        <f t="shared" si="8"/>
        <v/>
      </c>
      <c r="H72" s="152" t="str">
        <f t="shared" si="9"/>
        <v>:00:000</v>
      </c>
      <c r="I72" s="135"/>
      <c r="J72" s="166"/>
      <c r="K72" s="137" t="s">
        <v>15</v>
      </c>
      <c r="L72" s="138" t="str">
        <f t="shared" si="10"/>
        <v/>
      </c>
      <c r="M72" s="139" t="str">
        <f t="shared" si="11"/>
        <v/>
      </c>
      <c r="N72" s="140" t="str">
        <f t="shared" si="12"/>
        <v/>
      </c>
      <c r="O72" s="141" t="str">
        <f t="shared" si="13"/>
        <v/>
      </c>
      <c r="P72" s="162" t="str">
        <f t="shared" si="14"/>
        <v>:00:000</v>
      </c>
      <c r="Q72" s="148" t="str">
        <f t="array" ref="Q72">IFERROR(INDEX('DB(読み込みシート※編集厳禁)'!$A$3:$AH$501,MATCH($C72,'DB(読み込みシート※編集厳禁)'!$B$3:$B$501,0),MATCH(Q$14,'DB(読み込みシート※編集厳禁)'!$A$2:$AH$2,0)),"")</f>
        <v/>
      </c>
      <c r="R72" s="149">
        <v>56.0</v>
      </c>
      <c r="S72" s="169" t="str">
        <f t="array" ref="S72">IFERROR(INDEX('DB(読み込みシート※編集厳禁)'!$A$3:$AH$501,MATCH($C72,'DB(読み込みシート※編集厳禁)'!$B$3:$B$501,0),MATCH(S$14,'DB(読み込みシート※編集厳禁)'!$A$2:$AH$2,0)),"")</f>
        <v/>
      </c>
      <c r="T72" s="170" t="str">
        <f t="array" ref="T72">IFERROR(INDEX('DB(読み込みシート※編集厳禁)'!$A$3:$AH$501,MATCH($C72,'DB(読み込みシート※編集厳禁)'!$B$3:$B$501,0),MATCH(T$14,'DB(読み込みシート※編集厳禁)'!$A$2:$AH$2,0)),"")</f>
        <v/>
      </c>
      <c r="U72" s="135"/>
      <c r="V72" s="166"/>
      <c r="W72" s="137" t="s">
        <v>15</v>
      </c>
      <c r="X72" s="138" t="str">
        <f t="shared" si="15"/>
        <v/>
      </c>
      <c r="Y72" s="139" t="str">
        <f t="shared" si="16"/>
        <v/>
      </c>
      <c r="Z72" s="144" t="str">
        <f t="shared" si="17"/>
        <v/>
      </c>
      <c r="AA72" s="1"/>
      <c r="AB72" s="6"/>
      <c r="AC72" s="6"/>
      <c r="AD72" s="6"/>
      <c r="AE72" s="6"/>
      <c r="AF72" s="6"/>
      <c r="AG72" s="6" t="str">
        <f t="shared" si="18"/>
        <v/>
      </c>
      <c r="AH72" s="6" t="str">
        <f t="shared" si="19"/>
        <v/>
      </c>
      <c r="AI72" s="6" t="str">
        <f t="shared" si="20"/>
        <v>-</v>
      </c>
      <c r="AJ72" s="6"/>
      <c r="AK72" s="6" t="str">
        <f t="shared" si="21"/>
        <v/>
      </c>
      <c r="AL72" s="6"/>
      <c r="AM72" s="6"/>
      <c r="AN72" s="6"/>
      <c r="AO72" s="6"/>
      <c r="AP72" s="6"/>
      <c r="AQ72" s="7"/>
      <c r="AR72" s="69"/>
      <c r="AS72" s="69"/>
      <c r="AT72" s="39">
        <v>56.0</v>
      </c>
      <c r="AU72" s="69" t="str">
        <f t="array" ref="AU72">IFERROR(INDEX('DB(読み込みシート※編集厳禁)'!$A$3:$AH$501,MATCH($C72,'DB(読み込みシート※編集厳禁)'!$B$3:$B$501,0),MATCH(AU$16,'DB(読み込みシート※編集厳禁)'!$A$2:$AH$2,0)),"")</f>
        <v/>
      </c>
      <c r="AV72" s="69" t="str">
        <f t="array" ref="AV72">IFERROR(INDEX('DB(読み込みシート※編集厳禁)'!$A$3:$AH$501,MATCH($C72,'DB(読み込みシート※編集厳禁)'!$B$3:$B$501,0),MATCH(AV$16,'DB(読み込みシート※編集厳禁)'!$A$2:$AH$2,0)),"")</f>
        <v/>
      </c>
      <c r="AW72" s="69" t="str">
        <f t="shared" si="22"/>
        <v/>
      </c>
      <c r="AX72" s="69" t="str">
        <f t="shared" si="23"/>
        <v/>
      </c>
      <c r="AY72" s="69" t="str">
        <f t="shared" si="24"/>
        <v/>
      </c>
      <c r="AZ72" s="69" t="str">
        <f t="shared" si="25"/>
        <v/>
      </c>
      <c r="BA72" s="69" t="str">
        <f t="shared" si="26"/>
        <v/>
      </c>
      <c r="BB72" s="69" t="str">
        <f t="shared" si="27"/>
        <v/>
      </c>
      <c r="BC72" s="69" t="str">
        <f t="shared" si="28"/>
        <v/>
      </c>
      <c r="BD72" s="70" t="str">
        <f t="shared" si="29"/>
        <v/>
      </c>
      <c r="BE72" s="70" t="str">
        <f t="shared" si="30"/>
        <v/>
      </c>
      <c r="BF72" s="1" t="str">
        <f t="shared" si="31"/>
        <v/>
      </c>
      <c r="BG72" s="1" t="str">
        <f t="shared" si="32"/>
        <v/>
      </c>
      <c r="BH72" s="1" t="str">
        <f t="shared" si="33"/>
        <v/>
      </c>
      <c r="BI72" s="1" t="str">
        <f t="shared" si="34"/>
        <v/>
      </c>
      <c r="BJ72" s="1" t="str">
        <f t="shared" si="35"/>
        <v/>
      </c>
      <c r="BK72" s="1" t="str">
        <f t="shared" si="36"/>
        <v/>
      </c>
      <c r="BL72" s="1" t="str">
        <f t="shared" si="37"/>
        <v/>
      </c>
      <c r="BM72" s="1" t="str">
        <f t="shared" si="38"/>
        <v/>
      </c>
      <c r="BN72" s="1" t="str">
        <f t="shared" si="39"/>
        <v/>
      </c>
      <c r="BO72" s="1" t="str">
        <f t="shared" si="40"/>
        <v/>
      </c>
      <c r="BP72" s="1" t="str">
        <f t="shared" si="41"/>
        <v/>
      </c>
      <c r="BQ72" s="1" t="str">
        <f t="shared" si="42"/>
        <v/>
      </c>
      <c r="BR72" s="1" t="str">
        <f t="shared" si="43"/>
        <v/>
      </c>
      <c r="BS72" s="1" t="str">
        <f t="shared" si="44"/>
        <v/>
      </c>
      <c r="BT72" s="1"/>
      <c r="BU72" s="1"/>
      <c r="BV72" s="1"/>
      <c r="BW72" s="1"/>
      <c r="BX72" s="1"/>
    </row>
    <row r="73">
      <c r="A73" s="1"/>
      <c r="B73" s="148" t="str">
        <f t="array" ref="B73">IFERROR(INDEX('DB(読み込みシート※編集厳禁)'!$A$3:$AH$501,MATCH($C73,'DB(読み込みシート※編集厳禁)'!$B$3:$B$501,0),MATCH(B$14,'DB(読み込みシート※編集厳禁)'!$A$2:$AH$2,0)),"")</f>
        <v/>
      </c>
      <c r="C73" s="149">
        <v>57.0</v>
      </c>
      <c r="D73" s="169" t="str">
        <f t="array" ref="D73">IFERROR(INDEX('DB(読み込みシート※編集厳禁)'!$A$3:$AH$501,MATCH($C73,'DB(読み込みシート※編集厳禁)'!$B$3:$B$501,0),MATCH(D$14,'DB(読み込みシート※編集厳禁)'!$A$2:$AH$2,0)),"")</f>
        <v/>
      </c>
      <c r="E73" s="170" t="str">
        <f t="array" ref="E73">IFERROR(INDEX('DB(読み込みシート※編集厳禁)'!$A$3:$AH$501,MATCH($C73,'DB(読み込みシート※編集厳禁)'!$B$3:$B$501,0),MATCH(E$14,'DB(読み込みシート※編集厳禁)'!$A$2:$AH$2,0)),"")</f>
        <v/>
      </c>
      <c r="F73" s="171" t="str">
        <f t="array" ref="F73">IFERROR(INDEX('DB(読み込みシート※編集厳禁)'!$A$3:$AH$501,MATCH($C73,'DB(読み込みシート※編集厳禁)'!$B$3:$B$501,0),MATCH(F$14,'DB(読み込みシート※編集厳禁)'!$A$2:$AH$2,0)),"")</f>
        <v/>
      </c>
      <c r="G73" s="133" t="str">
        <f t="shared" si="8"/>
        <v/>
      </c>
      <c r="H73" s="152" t="str">
        <f t="shared" si="9"/>
        <v>:00:000</v>
      </c>
      <c r="I73" s="135"/>
      <c r="J73" s="166"/>
      <c r="K73" s="137" t="s">
        <v>15</v>
      </c>
      <c r="L73" s="138" t="str">
        <f t="shared" si="10"/>
        <v/>
      </c>
      <c r="M73" s="139" t="str">
        <f t="shared" si="11"/>
        <v/>
      </c>
      <c r="N73" s="140" t="str">
        <f t="shared" si="12"/>
        <v/>
      </c>
      <c r="O73" s="141" t="str">
        <f t="shared" si="13"/>
        <v/>
      </c>
      <c r="P73" s="162" t="str">
        <f t="shared" si="14"/>
        <v>:00:000</v>
      </c>
      <c r="Q73" s="148" t="str">
        <f t="array" ref="Q73">IFERROR(INDEX('DB(読み込みシート※編集厳禁)'!$A$3:$AH$501,MATCH($C73,'DB(読み込みシート※編集厳禁)'!$B$3:$B$501,0),MATCH(Q$14,'DB(読み込みシート※編集厳禁)'!$A$2:$AH$2,0)),"")</f>
        <v/>
      </c>
      <c r="R73" s="149">
        <v>57.0</v>
      </c>
      <c r="S73" s="169" t="str">
        <f t="array" ref="S73">IFERROR(INDEX('DB(読み込みシート※編集厳禁)'!$A$3:$AH$501,MATCH($C73,'DB(読み込みシート※編集厳禁)'!$B$3:$B$501,0),MATCH(S$14,'DB(読み込みシート※編集厳禁)'!$A$2:$AH$2,0)),"")</f>
        <v/>
      </c>
      <c r="T73" s="170" t="str">
        <f t="array" ref="T73">IFERROR(INDEX('DB(読み込みシート※編集厳禁)'!$A$3:$AH$501,MATCH($C73,'DB(読み込みシート※編集厳禁)'!$B$3:$B$501,0),MATCH(T$14,'DB(読み込みシート※編集厳禁)'!$A$2:$AH$2,0)),"")</f>
        <v/>
      </c>
      <c r="U73" s="135"/>
      <c r="V73" s="166"/>
      <c r="W73" s="137" t="s">
        <v>15</v>
      </c>
      <c r="X73" s="138" t="str">
        <f t="shared" si="15"/>
        <v/>
      </c>
      <c r="Y73" s="139" t="str">
        <f t="shared" si="16"/>
        <v/>
      </c>
      <c r="Z73" s="144" t="str">
        <f t="shared" si="17"/>
        <v/>
      </c>
      <c r="AA73" s="1"/>
      <c r="AB73" s="6"/>
      <c r="AC73" s="6"/>
      <c r="AD73" s="6"/>
      <c r="AE73" s="6"/>
      <c r="AF73" s="6"/>
      <c r="AG73" s="6" t="str">
        <f t="shared" si="18"/>
        <v/>
      </c>
      <c r="AH73" s="6" t="str">
        <f t="shared" si="19"/>
        <v/>
      </c>
      <c r="AI73" s="6" t="str">
        <f t="shared" si="20"/>
        <v>-</v>
      </c>
      <c r="AJ73" s="6"/>
      <c r="AK73" s="6" t="str">
        <f t="shared" si="21"/>
        <v/>
      </c>
      <c r="AL73" s="6"/>
      <c r="AM73" s="6"/>
      <c r="AN73" s="6"/>
      <c r="AO73" s="6"/>
      <c r="AP73" s="6"/>
      <c r="AQ73" s="7"/>
      <c r="AR73" s="69"/>
      <c r="AS73" s="69"/>
      <c r="AT73" s="39">
        <v>57.0</v>
      </c>
      <c r="AU73" s="69" t="str">
        <f t="array" ref="AU73">IFERROR(INDEX('DB(読み込みシート※編集厳禁)'!$A$3:$AH$501,MATCH($C73,'DB(読み込みシート※編集厳禁)'!$B$3:$B$501,0),MATCH(AU$16,'DB(読み込みシート※編集厳禁)'!$A$2:$AH$2,0)),"")</f>
        <v/>
      </c>
      <c r="AV73" s="69" t="str">
        <f t="array" ref="AV73">IFERROR(INDEX('DB(読み込みシート※編集厳禁)'!$A$3:$AH$501,MATCH($C73,'DB(読み込みシート※編集厳禁)'!$B$3:$B$501,0),MATCH(AV$16,'DB(読み込みシート※編集厳禁)'!$A$2:$AH$2,0)),"")</f>
        <v/>
      </c>
      <c r="AW73" s="69" t="str">
        <f t="shared" si="22"/>
        <v/>
      </c>
      <c r="AX73" s="69" t="str">
        <f t="shared" si="23"/>
        <v/>
      </c>
      <c r="AY73" s="69" t="str">
        <f t="shared" si="24"/>
        <v/>
      </c>
      <c r="AZ73" s="69" t="str">
        <f t="shared" si="25"/>
        <v/>
      </c>
      <c r="BA73" s="69" t="str">
        <f t="shared" si="26"/>
        <v/>
      </c>
      <c r="BB73" s="69" t="str">
        <f t="shared" si="27"/>
        <v/>
      </c>
      <c r="BC73" s="69" t="str">
        <f t="shared" si="28"/>
        <v/>
      </c>
      <c r="BD73" s="70" t="str">
        <f t="shared" si="29"/>
        <v/>
      </c>
      <c r="BE73" s="70" t="str">
        <f t="shared" si="30"/>
        <v/>
      </c>
      <c r="BF73" s="1" t="str">
        <f t="shared" si="31"/>
        <v/>
      </c>
      <c r="BG73" s="1" t="str">
        <f t="shared" si="32"/>
        <v/>
      </c>
      <c r="BH73" s="1" t="str">
        <f t="shared" si="33"/>
        <v/>
      </c>
      <c r="BI73" s="1" t="str">
        <f t="shared" si="34"/>
        <v/>
      </c>
      <c r="BJ73" s="1" t="str">
        <f t="shared" si="35"/>
        <v/>
      </c>
      <c r="BK73" s="1" t="str">
        <f t="shared" si="36"/>
        <v/>
      </c>
      <c r="BL73" s="1" t="str">
        <f t="shared" si="37"/>
        <v/>
      </c>
      <c r="BM73" s="1" t="str">
        <f t="shared" si="38"/>
        <v/>
      </c>
      <c r="BN73" s="1" t="str">
        <f t="shared" si="39"/>
        <v/>
      </c>
      <c r="BO73" s="1" t="str">
        <f t="shared" si="40"/>
        <v/>
      </c>
      <c r="BP73" s="1" t="str">
        <f t="shared" si="41"/>
        <v/>
      </c>
      <c r="BQ73" s="1" t="str">
        <f t="shared" si="42"/>
        <v/>
      </c>
      <c r="BR73" s="1" t="str">
        <f t="shared" si="43"/>
        <v/>
      </c>
      <c r="BS73" s="1" t="str">
        <f t="shared" si="44"/>
        <v/>
      </c>
      <c r="BT73" s="1"/>
      <c r="BU73" s="1"/>
      <c r="BV73" s="1"/>
      <c r="BW73" s="1"/>
      <c r="BX73" s="1"/>
    </row>
    <row r="74">
      <c r="A74" s="1"/>
      <c r="B74" s="148" t="str">
        <f t="array" ref="B74">IFERROR(INDEX('DB(読み込みシート※編集厳禁)'!$A$3:$AH$501,MATCH($C74,'DB(読み込みシート※編集厳禁)'!$B$3:$B$501,0),MATCH(B$14,'DB(読み込みシート※編集厳禁)'!$A$2:$AH$2,0)),"")</f>
        <v/>
      </c>
      <c r="C74" s="149">
        <v>58.0</v>
      </c>
      <c r="D74" s="169" t="str">
        <f t="array" ref="D74">IFERROR(INDEX('DB(読み込みシート※編集厳禁)'!$A$3:$AH$501,MATCH($C74,'DB(読み込みシート※編集厳禁)'!$B$3:$B$501,0),MATCH(D$14,'DB(読み込みシート※編集厳禁)'!$A$2:$AH$2,0)),"")</f>
        <v/>
      </c>
      <c r="E74" s="170" t="str">
        <f t="array" ref="E74">IFERROR(INDEX('DB(読み込みシート※編集厳禁)'!$A$3:$AH$501,MATCH($C74,'DB(読み込みシート※編集厳禁)'!$B$3:$B$501,0),MATCH(E$14,'DB(読み込みシート※編集厳禁)'!$A$2:$AH$2,0)),"")</f>
        <v/>
      </c>
      <c r="F74" s="171" t="str">
        <f t="array" ref="F74">IFERROR(INDEX('DB(読み込みシート※編集厳禁)'!$A$3:$AH$501,MATCH($C74,'DB(読み込みシート※編集厳禁)'!$B$3:$B$501,0),MATCH(F$14,'DB(読み込みシート※編集厳禁)'!$A$2:$AH$2,0)),"")</f>
        <v/>
      </c>
      <c r="G74" s="133" t="str">
        <f t="shared" si="8"/>
        <v/>
      </c>
      <c r="H74" s="152" t="str">
        <f t="shared" si="9"/>
        <v>:00:000</v>
      </c>
      <c r="I74" s="135"/>
      <c r="J74" s="166"/>
      <c r="K74" s="137" t="s">
        <v>15</v>
      </c>
      <c r="L74" s="138" t="str">
        <f t="shared" si="10"/>
        <v/>
      </c>
      <c r="M74" s="139" t="str">
        <f t="shared" si="11"/>
        <v/>
      </c>
      <c r="N74" s="140" t="str">
        <f t="shared" si="12"/>
        <v/>
      </c>
      <c r="O74" s="141" t="str">
        <f t="shared" si="13"/>
        <v/>
      </c>
      <c r="P74" s="162" t="str">
        <f t="shared" si="14"/>
        <v>:00:000</v>
      </c>
      <c r="Q74" s="148" t="str">
        <f t="array" ref="Q74">IFERROR(INDEX('DB(読み込みシート※編集厳禁)'!$A$3:$AH$501,MATCH($C74,'DB(読み込みシート※編集厳禁)'!$B$3:$B$501,0),MATCH(Q$14,'DB(読み込みシート※編集厳禁)'!$A$2:$AH$2,0)),"")</f>
        <v/>
      </c>
      <c r="R74" s="149">
        <v>58.0</v>
      </c>
      <c r="S74" s="169" t="str">
        <f t="array" ref="S74">IFERROR(INDEX('DB(読み込みシート※編集厳禁)'!$A$3:$AH$501,MATCH($C74,'DB(読み込みシート※編集厳禁)'!$B$3:$B$501,0),MATCH(S$14,'DB(読み込みシート※編集厳禁)'!$A$2:$AH$2,0)),"")</f>
        <v/>
      </c>
      <c r="T74" s="170" t="str">
        <f t="array" ref="T74">IFERROR(INDEX('DB(読み込みシート※編集厳禁)'!$A$3:$AH$501,MATCH($C74,'DB(読み込みシート※編集厳禁)'!$B$3:$B$501,0),MATCH(T$14,'DB(読み込みシート※編集厳禁)'!$A$2:$AH$2,0)),"")</f>
        <v/>
      </c>
      <c r="U74" s="135"/>
      <c r="V74" s="166"/>
      <c r="W74" s="137" t="s">
        <v>15</v>
      </c>
      <c r="X74" s="138" t="str">
        <f t="shared" si="15"/>
        <v/>
      </c>
      <c r="Y74" s="139" t="str">
        <f t="shared" si="16"/>
        <v/>
      </c>
      <c r="Z74" s="144" t="str">
        <f t="shared" si="17"/>
        <v/>
      </c>
      <c r="AA74" s="1"/>
      <c r="AB74" s="6"/>
      <c r="AC74" s="6"/>
      <c r="AD74" s="6"/>
      <c r="AE74" s="6"/>
      <c r="AF74" s="6"/>
      <c r="AG74" s="6" t="str">
        <f t="shared" si="18"/>
        <v/>
      </c>
      <c r="AH74" s="6" t="str">
        <f t="shared" si="19"/>
        <v/>
      </c>
      <c r="AI74" s="6" t="str">
        <f t="shared" si="20"/>
        <v>-</v>
      </c>
      <c r="AJ74" s="6"/>
      <c r="AK74" s="6" t="str">
        <f t="shared" si="21"/>
        <v/>
      </c>
      <c r="AL74" s="6"/>
      <c r="AM74" s="6"/>
      <c r="AN74" s="6"/>
      <c r="AO74" s="6"/>
      <c r="AP74" s="6"/>
      <c r="AQ74" s="7"/>
      <c r="AR74" s="69"/>
      <c r="AS74" s="69"/>
      <c r="AT74" s="39">
        <v>58.0</v>
      </c>
      <c r="AU74" s="69" t="str">
        <f t="array" ref="AU74">IFERROR(INDEX('DB(読み込みシート※編集厳禁)'!$A$3:$AH$501,MATCH($C74,'DB(読み込みシート※編集厳禁)'!$B$3:$B$501,0),MATCH(AU$16,'DB(読み込みシート※編集厳禁)'!$A$2:$AH$2,0)),"")</f>
        <v/>
      </c>
      <c r="AV74" s="69" t="str">
        <f t="array" ref="AV74">IFERROR(INDEX('DB(読み込みシート※編集厳禁)'!$A$3:$AH$501,MATCH($C74,'DB(読み込みシート※編集厳禁)'!$B$3:$B$501,0),MATCH(AV$16,'DB(読み込みシート※編集厳禁)'!$A$2:$AH$2,0)),"")</f>
        <v/>
      </c>
      <c r="AW74" s="69" t="str">
        <f t="shared" si="22"/>
        <v/>
      </c>
      <c r="AX74" s="69" t="str">
        <f t="shared" si="23"/>
        <v/>
      </c>
      <c r="AY74" s="69" t="str">
        <f t="shared" si="24"/>
        <v/>
      </c>
      <c r="AZ74" s="69" t="str">
        <f t="shared" si="25"/>
        <v/>
      </c>
      <c r="BA74" s="69" t="str">
        <f t="shared" si="26"/>
        <v/>
      </c>
      <c r="BB74" s="69" t="str">
        <f t="shared" si="27"/>
        <v/>
      </c>
      <c r="BC74" s="69" t="str">
        <f t="shared" si="28"/>
        <v/>
      </c>
      <c r="BD74" s="70" t="str">
        <f t="shared" si="29"/>
        <v/>
      </c>
      <c r="BE74" s="70" t="str">
        <f t="shared" si="30"/>
        <v/>
      </c>
      <c r="BF74" s="1" t="str">
        <f t="shared" si="31"/>
        <v/>
      </c>
      <c r="BG74" s="1" t="str">
        <f t="shared" si="32"/>
        <v/>
      </c>
      <c r="BH74" s="1" t="str">
        <f t="shared" si="33"/>
        <v/>
      </c>
      <c r="BI74" s="1" t="str">
        <f t="shared" si="34"/>
        <v/>
      </c>
      <c r="BJ74" s="1" t="str">
        <f t="shared" si="35"/>
        <v/>
      </c>
      <c r="BK74" s="1" t="str">
        <f t="shared" si="36"/>
        <v/>
      </c>
      <c r="BL74" s="1" t="str">
        <f t="shared" si="37"/>
        <v/>
      </c>
      <c r="BM74" s="1" t="str">
        <f t="shared" si="38"/>
        <v/>
      </c>
      <c r="BN74" s="1" t="str">
        <f t="shared" si="39"/>
        <v/>
      </c>
      <c r="BO74" s="1" t="str">
        <f t="shared" si="40"/>
        <v/>
      </c>
      <c r="BP74" s="1" t="str">
        <f t="shared" si="41"/>
        <v/>
      </c>
      <c r="BQ74" s="1" t="str">
        <f t="shared" si="42"/>
        <v/>
      </c>
      <c r="BR74" s="1" t="str">
        <f t="shared" si="43"/>
        <v/>
      </c>
      <c r="BS74" s="1" t="str">
        <f t="shared" si="44"/>
        <v/>
      </c>
      <c r="BT74" s="1"/>
      <c r="BU74" s="1"/>
      <c r="BV74" s="1"/>
      <c r="BW74" s="1"/>
      <c r="BX74" s="1"/>
    </row>
    <row r="75">
      <c r="A75" s="1"/>
      <c r="B75" s="148" t="str">
        <f t="array" ref="B75">IFERROR(INDEX('DB(読み込みシート※編集厳禁)'!$A$3:$AH$501,MATCH($C75,'DB(読み込みシート※編集厳禁)'!$B$3:$B$501,0),MATCH(B$14,'DB(読み込みシート※編集厳禁)'!$A$2:$AH$2,0)),"")</f>
        <v/>
      </c>
      <c r="C75" s="149">
        <v>59.0</v>
      </c>
      <c r="D75" s="169" t="str">
        <f t="array" ref="D75">IFERROR(INDEX('DB(読み込みシート※編集厳禁)'!$A$3:$AH$501,MATCH($C75,'DB(読み込みシート※編集厳禁)'!$B$3:$B$501,0),MATCH(D$14,'DB(読み込みシート※編集厳禁)'!$A$2:$AH$2,0)),"")</f>
        <v/>
      </c>
      <c r="E75" s="170" t="str">
        <f t="array" ref="E75">IFERROR(INDEX('DB(読み込みシート※編集厳禁)'!$A$3:$AH$501,MATCH($C75,'DB(読み込みシート※編集厳禁)'!$B$3:$B$501,0),MATCH(E$14,'DB(読み込みシート※編集厳禁)'!$A$2:$AH$2,0)),"")</f>
        <v/>
      </c>
      <c r="F75" s="171" t="str">
        <f t="array" ref="F75">IFERROR(INDEX('DB(読み込みシート※編集厳禁)'!$A$3:$AH$501,MATCH($C75,'DB(読み込みシート※編集厳禁)'!$B$3:$B$501,0),MATCH(F$14,'DB(読み込みシート※編集厳禁)'!$A$2:$AH$2,0)),"")</f>
        <v/>
      </c>
      <c r="G75" s="133" t="str">
        <f t="shared" si="8"/>
        <v/>
      </c>
      <c r="H75" s="152" t="str">
        <f t="shared" si="9"/>
        <v>:00:000</v>
      </c>
      <c r="I75" s="135"/>
      <c r="J75" s="166"/>
      <c r="K75" s="137" t="s">
        <v>15</v>
      </c>
      <c r="L75" s="138" t="str">
        <f t="shared" si="10"/>
        <v/>
      </c>
      <c r="M75" s="139" t="str">
        <f t="shared" si="11"/>
        <v/>
      </c>
      <c r="N75" s="140" t="str">
        <f t="shared" si="12"/>
        <v/>
      </c>
      <c r="O75" s="141" t="str">
        <f t="shared" si="13"/>
        <v/>
      </c>
      <c r="P75" s="162" t="str">
        <f t="shared" si="14"/>
        <v>:00:000</v>
      </c>
      <c r="Q75" s="148" t="str">
        <f t="array" ref="Q75">IFERROR(INDEX('DB(読み込みシート※編集厳禁)'!$A$3:$AH$501,MATCH($C75,'DB(読み込みシート※編集厳禁)'!$B$3:$B$501,0),MATCH(Q$14,'DB(読み込みシート※編集厳禁)'!$A$2:$AH$2,0)),"")</f>
        <v/>
      </c>
      <c r="R75" s="149">
        <v>59.0</v>
      </c>
      <c r="S75" s="169" t="str">
        <f t="array" ref="S75">IFERROR(INDEX('DB(読み込みシート※編集厳禁)'!$A$3:$AH$501,MATCH($C75,'DB(読み込みシート※編集厳禁)'!$B$3:$B$501,0),MATCH(S$14,'DB(読み込みシート※編集厳禁)'!$A$2:$AH$2,0)),"")</f>
        <v/>
      </c>
      <c r="T75" s="170" t="str">
        <f t="array" ref="T75">IFERROR(INDEX('DB(読み込みシート※編集厳禁)'!$A$3:$AH$501,MATCH($C75,'DB(読み込みシート※編集厳禁)'!$B$3:$B$501,0),MATCH(T$14,'DB(読み込みシート※編集厳禁)'!$A$2:$AH$2,0)),"")</f>
        <v/>
      </c>
      <c r="U75" s="135"/>
      <c r="V75" s="166"/>
      <c r="W75" s="137" t="s">
        <v>15</v>
      </c>
      <c r="X75" s="138" t="str">
        <f t="shared" si="15"/>
        <v/>
      </c>
      <c r="Y75" s="139" t="str">
        <f t="shared" si="16"/>
        <v/>
      </c>
      <c r="Z75" s="144" t="str">
        <f t="shared" si="17"/>
        <v/>
      </c>
      <c r="AA75" s="1"/>
      <c r="AB75" s="6"/>
      <c r="AC75" s="6"/>
      <c r="AD75" s="6"/>
      <c r="AE75" s="6"/>
      <c r="AF75" s="6"/>
      <c r="AG75" s="6" t="str">
        <f t="shared" si="18"/>
        <v/>
      </c>
      <c r="AH75" s="6" t="str">
        <f t="shared" si="19"/>
        <v/>
      </c>
      <c r="AI75" s="6" t="str">
        <f t="shared" si="20"/>
        <v>-</v>
      </c>
      <c r="AJ75" s="6"/>
      <c r="AK75" s="6" t="str">
        <f t="shared" si="21"/>
        <v/>
      </c>
      <c r="AL75" s="6"/>
      <c r="AM75" s="6"/>
      <c r="AN75" s="6"/>
      <c r="AO75" s="6"/>
      <c r="AP75" s="6"/>
      <c r="AQ75" s="7"/>
      <c r="AR75" s="69"/>
      <c r="AS75" s="69"/>
      <c r="AT75" s="39">
        <v>59.0</v>
      </c>
      <c r="AU75" s="69" t="str">
        <f t="array" ref="AU75">IFERROR(INDEX('DB(読み込みシート※編集厳禁)'!$A$3:$AH$501,MATCH($C75,'DB(読み込みシート※編集厳禁)'!$B$3:$B$501,0),MATCH(AU$16,'DB(読み込みシート※編集厳禁)'!$A$2:$AH$2,0)),"")</f>
        <v/>
      </c>
      <c r="AV75" s="69" t="str">
        <f t="array" ref="AV75">IFERROR(INDEX('DB(読み込みシート※編集厳禁)'!$A$3:$AH$501,MATCH($C75,'DB(読み込みシート※編集厳禁)'!$B$3:$B$501,0),MATCH(AV$16,'DB(読み込みシート※編集厳禁)'!$A$2:$AH$2,0)),"")</f>
        <v/>
      </c>
      <c r="AW75" s="69" t="str">
        <f t="shared" si="22"/>
        <v/>
      </c>
      <c r="AX75" s="69" t="str">
        <f t="shared" si="23"/>
        <v/>
      </c>
      <c r="AY75" s="69" t="str">
        <f t="shared" si="24"/>
        <v/>
      </c>
      <c r="AZ75" s="69" t="str">
        <f t="shared" si="25"/>
        <v/>
      </c>
      <c r="BA75" s="69" t="str">
        <f t="shared" si="26"/>
        <v/>
      </c>
      <c r="BB75" s="69" t="str">
        <f t="shared" si="27"/>
        <v/>
      </c>
      <c r="BC75" s="69" t="str">
        <f t="shared" si="28"/>
        <v/>
      </c>
      <c r="BD75" s="70" t="str">
        <f t="shared" si="29"/>
        <v/>
      </c>
      <c r="BE75" s="70" t="str">
        <f t="shared" si="30"/>
        <v/>
      </c>
      <c r="BF75" s="1" t="str">
        <f t="shared" si="31"/>
        <v/>
      </c>
      <c r="BG75" s="1" t="str">
        <f t="shared" si="32"/>
        <v/>
      </c>
      <c r="BH75" s="1" t="str">
        <f t="shared" si="33"/>
        <v/>
      </c>
      <c r="BI75" s="1" t="str">
        <f t="shared" si="34"/>
        <v/>
      </c>
      <c r="BJ75" s="1" t="str">
        <f t="shared" si="35"/>
        <v/>
      </c>
      <c r="BK75" s="1" t="str">
        <f t="shared" si="36"/>
        <v/>
      </c>
      <c r="BL75" s="1" t="str">
        <f t="shared" si="37"/>
        <v/>
      </c>
      <c r="BM75" s="1" t="str">
        <f t="shared" si="38"/>
        <v/>
      </c>
      <c r="BN75" s="1" t="str">
        <f t="shared" si="39"/>
        <v/>
      </c>
      <c r="BO75" s="1" t="str">
        <f t="shared" si="40"/>
        <v/>
      </c>
      <c r="BP75" s="1" t="str">
        <f t="shared" si="41"/>
        <v/>
      </c>
      <c r="BQ75" s="1" t="str">
        <f t="shared" si="42"/>
        <v/>
      </c>
      <c r="BR75" s="1" t="str">
        <f t="shared" si="43"/>
        <v/>
      </c>
      <c r="BS75" s="1" t="str">
        <f t="shared" si="44"/>
        <v/>
      </c>
      <c r="BT75" s="1"/>
      <c r="BU75" s="1"/>
      <c r="BV75" s="1"/>
      <c r="BW75" s="1"/>
      <c r="BX75" s="1"/>
    </row>
    <row r="76">
      <c r="A76" s="1"/>
      <c r="B76" s="148" t="str">
        <f t="array" ref="B76">IFERROR(INDEX('DB(読み込みシート※編集厳禁)'!$A$3:$AH$501,MATCH($C76,'DB(読み込みシート※編集厳禁)'!$B$3:$B$501,0),MATCH(B$14,'DB(読み込みシート※編集厳禁)'!$A$2:$AH$2,0)),"")</f>
        <v/>
      </c>
      <c r="C76" s="149">
        <v>60.0</v>
      </c>
      <c r="D76" s="169" t="str">
        <f t="array" ref="D76">IFERROR(INDEX('DB(読み込みシート※編集厳禁)'!$A$3:$AH$501,MATCH($C76,'DB(読み込みシート※編集厳禁)'!$B$3:$B$501,0),MATCH(D$14,'DB(読み込みシート※編集厳禁)'!$A$2:$AH$2,0)),"")</f>
        <v/>
      </c>
      <c r="E76" s="170" t="str">
        <f t="array" ref="E76">IFERROR(INDEX('DB(読み込みシート※編集厳禁)'!$A$3:$AH$501,MATCH($C76,'DB(読み込みシート※編集厳禁)'!$B$3:$B$501,0),MATCH(E$14,'DB(読み込みシート※編集厳禁)'!$A$2:$AH$2,0)),"")</f>
        <v/>
      </c>
      <c r="F76" s="171" t="str">
        <f t="array" ref="F76">IFERROR(INDEX('DB(読み込みシート※編集厳禁)'!$A$3:$AH$501,MATCH($C76,'DB(読み込みシート※編集厳禁)'!$B$3:$B$501,0),MATCH(F$14,'DB(読み込みシート※編集厳禁)'!$A$2:$AH$2,0)),"")</f>
        <v/>
      </c>
      <c r="G76" s="133" t="str">
        <f t="shared" si="8"/>
        <v/>
      </c>
      <c r="H76" s="152" t="str">
        <f t="shared" si="9"/>
        <v>:00:000</v>
      </c>
      <c r="I76" s="135"/>
      <c r="J76" s="166"/>
      <c r="K76" s="137" t="s">
        <v>15</v>
      </c>
      <c r="L76" s="138" t="str">
        <f t="shared" si="10"/>
        <v/>
      </c>
      <c r="M76" s="139" t="str">
        <f t="shared" si="11"/>
        <v/>
      </c>
      <c r="N76" s="140" t="str">
        <f t="shared" si="12"/>
        <v/>
      </c>
      <c r="O76" s="141" t="str">
        <f t="shared" si="13"/>
        <v/>
      </c>
      <c r="P76" s="162" t="str">
        <f t="shared" si="14"/>
        <v>:00:000</v>
      </c>
      <c r="Q76" s="148" t="str">
        <f t="array" ref="Q76">IFERROR(INDEX('DB(読み込みシート※編集厳禁)'!$A$3:$AH$501,MATCH($C76,'DB(読み込みシート※編集厳禁)'!$B$3:$B$501,0),MATCH(Q$14,'DB(読み込みシート※編集厳禁)'!$A$2:$AH$2,0)),"")</f>
        <v/>
      </c>
      <c r="R76" s="149">
        <v>60.0</v>
      </c>
      <c r="S76" s="169" t="str">
        <f t="array" ref="S76">IFERROR(INDEX('DB(読み込みシート※編集厳禁)'!$A$3:$AH$501,MATCH($C76,'DB(読み込みシート※編集厳禁)'!$B$3:$B$501,0),MATCH(S$14,'DB(読み込みシート※編集厳禁)'!$A$2:$AH$2,0)),"")</f>
        <v/>
      </c>
      <c r="T76" s="170" t="str">
        <f t="array" ref="T76">IFERROR(INDEX('DB(読み込みシート※編集厳禁)'!$A$3:$AH$501,MATCH($C76,'DB(読み込みシート※編集厳禁)'!$B$3:$B$501,0),MATCH(T$14,'DB(読み込みシート※編集厳禁)'!$A$2:$AH$2,0)),"")</f>
        <v/>
      </c>
      <c r="U76" s="135"/>
      <c r="V76" s="166"/>
      <c r="W76" s="137" t="s">
        <v>15</v>
      </c>
      <c r="X76" s="138" t="str">
        <f t="shared" si="15"/>
        <v/>
      </c>
      <c r="Y76" s="139" t="str">
        <f t="shared" si="16"/>
        <v/>
      </c>
      <c r="Z76" s="144" t="str">
        <f t="shared" si="17"/>
        <v/>
      </c>
      <c r="AA76" s="1"/>
      <c r="AB76" s="6"/>
      <c r="AC76" s="6"/>
      <c r="AD76" s="6"/>
      <c r="AE76" s="6"/>
      <c r="AF76" s="6"/>
      <c r="AG76" s="6" t="str">
        <f t="shared" si="18"/>
        <v/>
      </c>
      <c r="AH76" s="6" t="str">
        <f t="shared" si="19"/>
        <v/>
      </c>
      <c r="AI76" s="6" t="str">
        <f t="shared" si="20"/>
        <v>-</v>
      </c>
      <c r="AJ76" s="6"/>
      <c r="AK76" s="6" t="str">
        <f t="shared" si="21"/>
        <v/>
      </c>
      <c r="AL76" s="6"/>
      <c r="AM76" s="6"/>
      <c r="AN76" s="6"/>
      <c r="AO76" s="6"/>
      <c r="AP76" s="6"/>
      <c r="AQ76" s="7"/>
      <c r="AR76" s="69"/>
      <c r="AS76" s="69"/>
      <c r="AT76" s="39">
        <v>60.0</v>
      </c>
      <c r="AU76" s="69" t="str">
        <f t="array" ref="AU76">IFERROR(INDEX('DB(読み込みシート※編集厳禁)'!$A$3:$AH$501,MATCH($C76,'DB(読み込みシート※編集厳禁)'!$B$3:$B$501,0),MATCH(AU$16,'DB(読み込みシート※編集厳禁)'!$A$2:$AH$2,0)),"")</f>
        <v/>
      </c>
      <c r="AV76" s="69" t="str">
        <f t="array" ref="AV76">IFERROR(INDEX('DB(読み込みシート※編集厳禁)'!$A$3:$AH$501,MATCH($C76,'DB(読み込みシート※編集厳禁)'!$B$3:$B$501,0),MATCH(AV$16,'DB(読み込みシート※編集厳禁)'!$A$2:$AH$2,0)),"")</f>
        <v/>
      </c>
      <c r="AW76" s="69" t="str">
        <f t="shared" si="22"/>
        <v/>
      </c>
      <c r="AX76" s="69" t="str">
        <f t="shared" si="23"/>
        <v/>
      </c>
      <c r="AY76" s="69" t="str">
        <f t="shared" si="24"/>
        <v/>
      </c>
      <c r="AZ76" s="69" t="str">
        <f t="shared" si="25"/>
        <v/>
      </c>
      <c r="BA76" s="69" t="str">
        <f t="shared" si="26"/>
        <v/>
      </c>
      <c r="BB76" s="69" t="str">
        <f t="shared" si="27"/>
        <v/>
      </c>
      <c r="BC76" s="69" t="str">
        <f t="shared" si="28"/>
        <v/>
      </c>
      <c r="BD76" s="70" t="str">
        <f t="shared" si="29"/>
        <v/>
      </c>
      <c r="BE76" s="70" t="str">
        <f t="shared" si="30"/>
        <v/>
      </c>
      <c r="BF76" s="1" t="str">
        <f t="shared" si="31"/>
        <v/>
      </c>
      <c r="BG76" s="1" t="str">
        <f t="shared" si="32"/>
        <v/>
      </c>
      <c r="BH76" s="1" t="str">
        <f t="shared" si="33"/>
        <v/>
      </c>
      <c r="BI76" s="1" t="str">
        <f t="shared" si="34"/>
        <v/>
      </c>
      <c r="BJ76" s="1" t="str">
        <f t="shared" si="35"/>
        <v/>
      </c>
      <c r="BK76" s="1" t="str">
        <f t="shared" si="36"/>
        <v/>
      </c>
      <c r="BL76" s="1" t="str">
        <f t="shared" si="37"/>
        <v/>
      </c>
      <c r="BM76" s="1" t="str">
        <f t="shared" si="38"/>
        <v/>
      </c>
      <c r="BN76" s="1" t="str">
        <f t="shared" si="39"/>
        <v/>
      </c>
      <c r="BO76" s="1" t="str">
        <f t="shared" si="40"/>
        <v/>
      </c>
      <c r="BP76" s="1" t="str">
        <f t="shared" si="41"/>
        <v/>
      </c>
      <c r="BQ76" s="1" t="str">
        <f t="shared" si="42"/>
        <v/>
      </c>
      <c r="BR76" s="1" t="str">
        <f t="shared" si="43"/>
        <v/>
      </c>
      <c r="BS76" s="1" t="str">
        <f t="shared" si="44"/>
        <v/>
      </c>
      <c r="BT76" s="1"/>
      <c r="BU76" s="1"/>
      <c r="BV76" s="1"/>
      <c r="BW76" s="1"/>
      <c r="BX76" s="1"/>
    </row>
    <row r="77">
      <c r="A77" s="1"/>
      <c r="B77" s="148" t="str">
        <f t="array" ref="B77">IFERROR(INDEX('DB(読み込みシート※編集厳禁)'!$A$3:$AH$501,MATCH($C77,'DB(読み込みシート※編集厳禁)'!$B$3:$B$501,0),MATCH(B$14,'DB(読み込みシート※編集厳禁)'!$A$2:$AH$2,0)),"")</f>
        <v/>
      </c>
      <c r="C77" s="149">
        <v>61.0</v>
      </c>
      <c r="D77" s="169" t="str">
        <f t="array" ref="D77">IFERROR(INDEX('DB(読み込みシート※編集厳禁)'!$A$3:$AH$501,MATCH($C77,'DB(読み込みシート※編集厳禁)'!$B$3:$B$501,0),MATCH(D$14,'DB(読み込みシート※編集厳禁)'!$A$2:$AH$2,0)),"")</f>
        <v/>
      </c>
      <c r="E77" s="170" t="str">
        <f t="array" ref="E77">IFERROR(INDEX('DB(読み込みシート※編集厳禁)'!$A$3:$AH$501,MATCH($C77,'DB(読み込みシート※編集厳禁)'!$B$3:$B$501,0),MATCH(E$14,'DB(読み込みシート※編集厳禁)'!$A$2:$AH$2,0)),"")</f>
        <v/>
      </c>
      <c r="F77" s="171" t="str">
        <f t="array" ref="F77">IFERROR(INDEX('DB(読み込みシート※編集厳禁)'!$A$3:$AH$501,MATCH($C77,'DB(読み込みシート※編集厳禁)'!$B$3:$B$501,0),MATCH(F$14,'DB(読み込みシート※編集厳禁)'!$A$2:$AH$2,0)),"")</f>
        <v/>
      </c>
      <c r="G77" s="133" t="str">
        <f t="shared" si="8"/>
        <v/>
      </c>
      <c r="H77" s="152" t="str">
        <f t="shared" si="9"/>
        <v>:00:000</v>
      </c>
      <c r="I77" s="135"/>
      <c r="J77" s="166"/>
      <c r="K77" s="137" t="s">
        <v>15</v>
      </c>
      <c r="L77" s="138" t="str">
        <f t="shared" si="10"/>
        <v/>
      </c>
      <c r="M77" s="139" t="str">
        <f t="shared" si="11"/>
        <v/>
      </c>
      <c r="N77" s="140" t="str">
        <f t="shared" si="12"/>
        <v/>
      </c>
      <c r="O77" s="141" t="str">
        <f t="shared" si="13"/>
        <v/>
      </c>
      <c r="P77" s="162" t="str">
        <f t="shared" si="14"/>
        <v>:00:000</v>
      </c>
      <c r="Q77" s="148" t="str">
        <f t="array" ref="Q77">IFERROR(INDEX('DB(読み込みシート※編集厳禁)'!$A$3:$AH$501,MATCH($C77,'DB(読み込みシート※編集厳禁)'!$B$3:$B$501,0),MATCH(Q$14,'DB(読み込みシート※編集厳禁)'!$A$2:$AH$2,0)),"")</f>
        <v/>
      </c>
      <c r="R77" s="149">
        <v>61.0</v>
      </c>
      <c r="S77" s="169" t="str">
        <f t="array" ref="S77">IFERROR(INDEX('DB(読み込みシート※編集厳禁)'!$A$3:$AH$501,MATCH($C77,'DB(読み込みシート※編集厳禁)'!$B$3:$B$501,0),MATCH(S$14,'DB(読み込みシート※編集厳禁)'!$A$2:$AH$2,0)),"")</f>
        <v/>
      </c>
      <c r="T77" s="170" t="str">
        <f t="array" ref="T77">IFERROR(INDEX('DB(読み込みシート※編集厳禁)'!$A$3:$AH$501,MATCH($C77,'DB(読み込みシート※編集厳禁)'!$B$3:$B$501,0),MATCH(T$14,'DB(読み込みシート※編集厳禁)'!$A$2:$AH$2,0)),"")</f>
        <v/>
      </c>
      <c r="U77" s="135"/>
      <c r="V77" s="166"/>
      <c r="W77" s="137" t="s">
        <v>15</v>
      </c>
      <c r="X77" s="138" t="str">
        <f t="shared" si="15"/>
        <v/>
      </c>
      <c r="Y77" s="139" t="str">
        <f t="shared" si="16"/>
        <v/>
      </c>
      <c r="Z77" s="144" t="str">
        <f t="shared" si="17"/>
        <v/>
      </c>
      <c r="AA77" s="1"/>
      <c r="AB77" s="6"/>
      <c r="AC77" s="6"/>
      <c r="AD77" s="6"/>
      <c r="AE77" s="6"/>
      <c r="AF77" s="6"/>
      <c r="AG77" s="6" t="str">
        <f t="shared" si="18"/>
        <v/>
      </c>
      <c r="AH77" s="6" t="str">
        <f t="shared" si="19"/>
        <v/>
      </c>
      <c r="AI77" s="6" t="str">
        <f t="shared" si="20"/>
        <v>-</v>
      </c>
      <c r="AJ77" s="6"/>
      <c r="AK77" s="6" t="str">
        <f t="shared" si="21"/>
        <v/>
      </c>
      <c r="AL77" s="6"/>
      <c r="AM77" s="6"/>
      <c r="AN77" s="6"/>
      <c r="AO77" s="6"/>
      <c r="AP77" s="6"/>
      <c r="AQ77" s="7"/>
      <c r="AR77" s="69"/>
      <c r="AS77" s="69"/>
      <c r="AT77" s="39">
        <v>61.0</v>
      </c>
      <c r="AU77" s="69" t="str">
        <f t="array" ref="AU77">IFERROR(INDEX('DB(読み込みシート※編集厳禁)'!$A$3:$AH$501,MATCH($C77,'DB(読み込みシート※編集厳禁)'!$B$3:$B$501,0),MATCH(AU$16,'DB(読み込みシート※編集厳禁)'!$A$2:$AH$2,0)),"")</f>
        <v/>
      </c>
      <c r="AV77" s="69" t="str">
        <f t="array" ref="AV77">IFERROR(INDEX('DB(読み込みシート※編集厳禁)'!$A$3:$AH$501,MATCH($C77,'DB(読み込みシート※編集厳禁)'!$B$3:$B$501,0),MATCH(AV$16,'DB(読み込みシート※編集厳禁)'!$A$2:$AH$2,0)),"")</f>
        <v/>
      </c>
      <c r="AW77" s="69" t="str">
        <f t="shared" si="22"/>
        <v/>
      </c>
      <c r="AX77" s="69" t="str">
        <f t="shared" si="23"/>
        <v/>
      </c>
      <c r="AY77" s="69" t="str">
        <f t="shared" si="24"/>
        <v/>
      </c>
      <c r="AZ77" s="69" t="str">
        <f t="shared" si="25"/>
        <v/>
      </c>
      <c r="BA77" s="69" t="str">
        <f t="shared" si="26"/>
        <v/>
      </c>
      <c r="BB77" s="69" t="str">
        <f t="shared" si="27"/>
        <v/>
      </c>
      <c r="BC77" s="69" t="str">
        <f t="shared" si="28"/>
        <v/>
      </c>
      <c r="BD77" s="70" t="str">
        <f t="shared" si="29"/>
        <v/>
      </c>
      <c r="BE77" s="70" t="str">
        <f t="shared" si="30"/>
        <v/>
      </c>
      <c r="BF77" s="1" t="str">
        <f t="shared" si="31"/>
        <v/>
      </c>
      <c r="BG77" s="1" t="str">
        <f t="shared" si="32"/>
        <v/>
      </c>
      <c r="BH77" s="1" t="str">
        <f t="shared" si="33"/>
        <v/>
      </c>
      <c r="BI77" s="1" t="str">
        <f t="shared" si="34"/>
        <v/>
      </c>
      <c r="BJ77" s="1" t="str">
        <f t="shared" si="35"/>
        <v/>
      </c>
      <c r="BK77" s="1" t="str">
        <f t="shared" si="36"/>
        <v/>
      </c>
      <c r="BL77" s="1" t="str">
        <f t="shared" si="37"/>
        <v/>
      </c>
      <c r="BM77" s="1" t="str">
        <f t="shared" si="38"/>
        <v/>
      </c>
      <c r="BN77" s="1" t="str">
        <f t="shared" si="39"/>
        <v/>
      </c>
      <c r="BO77" s="1" t="str">
        <f t="shared" si="40"/>
        <v/>
      </c>
      <c r="BP77" s="1" t="str">
        <f t="shared" si="41"/>
        <v/>
      </c>
      <c r="BQ77" s="1" t="str">
        <f t="shared" si="42"/>
        <v/>
      </c>
      <c r="BR77" s="1" t="str">
        <f t="shared" si="43"/>
        <v/>
      </c>
      <c r="BS77" s="1" t="str">
        <f t="shared" si="44"/>
        <v/>
      </c>
      <c r="BT77" s="1"/>
      <c r="BU77" s="1"/>
      <c r="BV77" s="1"/>
      <c r="BW77" s="1"/>
      <c r="BX77" s="1"/>
    </row>
    <row r="78">
      <c r="A78" s="1"/>
      <c r="B78" s="148" t="str">
        <f t="array" ref="B78">IFERROR(INDEX('DB(読み込みシート※編集厳禁)'!$A$3:$AH$501,MATCH($C78,'DB(読み込みシート※編集厳禁)'!$B$3:$B$501,0),MATCH(B$14,'DB(読み込みシート※編集厳禁)'!$A$2:$AH$2,0)),"")</f>
        <v/>
      </c>
      <c r="C78" s="149">
        <v>62.0</v>
      </c>
      <c r="D78" s="169" t="str">
        <f t="array" ref="D78">IFERROR(INDEX('DB(読み込みシート※編集厳禁)'!$A$3:$AH$501,MATCH($C78,'DB(読み込みシート※編集厳禁)'!$B$3:$B$501,0),MATCH(D$14,'DB(読み込みシート※編集厳禁)'!$A$2:$AH$2,0)),"")</f>
        <v/>
      </c>
      <c r="E78" s="170" t="str">
        <f t="array" ref="E78">IFERROR(INDEX('DB(読み込みシート※編集厳禁)'!$A$3:$AH$501,MATCH($C78,'DB(読み込みシート※編集厳禁)'!$B$3:$B$501,0),MATCH(E$14,'DB(読み込みシート※編集厳禁)'!$A$2:$AH$2,0)),"")</f>
        <v/>
      </c>
      <c r="F78" s="171" t="str">
        <f t="array" ref="F78">IFERROR(INDEX('DB(読み込みシート※編集厳禁)'!$A$3:$AH$501,MATCH($C78,'DB(読み込みシート※編集厳禁)'!$B$3:$B$501,0),MATCH(F$14,'DB(読み込みシート※編集厳禁)'!$A$2:$AH$2,0)),"")</f>
        <v/>
      </c>
      <c r="G78" s="133" t="str">
        <f t="shared" si="8"/>
        <v/>
      </c>
      <c r="H78" s="152" t="str">
        <f t="shared" si="9"/>
        <v>:00:000</v>
      </c>
      <c r="I78" s="135"/>
      <c r="J78" s="166"/>
      <c r="K78" s="137" t="s">
        <v>15</v>
      </c>
      <c r="L78" s="138" t="str">
        <f t="shared" si="10"/>
        <v/>
      </c>
      <c r="M78" s="139" t="str">
        <f t="shared" si="11"/>
        <v/>
      </c>
      <c r="N78" s="140" t="str">
        <f t="shared" si="12"/>
        <v/>
      </c>
      <c r="O78" s="141" t="str">
        <f t="shared" si="13"/>
        <v/>
      </c>
      <c r="P78" s="162" t="str">
        <f t="shared" si="14"/>
        <v>:00:000</v>
      </c>
      <c r="Q78" s="148" t="str">
        <f t="array" ref="Q78">IFERROR(INDEX('DB(読み込みシート※編集厳禁)'!$A$3:$AH$501,MATCH($C78,'DB(読み込みシート※編集厳禁)'!$B$3:$B$501,0),MATCH(Q$14,'DB(読み込みシート※編集厳禁)'!$A$2:$AH$2,0)),"")</f>
        <v/>
      </c>
      <c r="R78" s="149">
        <v>62.0</v>
      </c>
      <c r="S78" s="169" t="str">
        <f t="array" ref="S78">IFERROR(INDEX('DB(読み込みシート※編集厳禁)'!$A$3:$AH$501,MATCH($C78,'DB(読み込みシート※編集厳禁)'!$B$3:$B$501,0),MATCH(S$14,'DB(読み込みシート※編集厳禁)'!$A$2:$AH$2,0)),"")</f>
        <v/>
      </c>
      <c r="T78" s="170" t="str">
        <f t="array" ref="T78">IFERROR(INDEX('DB(読み込みシート※編集厳禁)'!$A$3:$AH$501,MATCH($C78,'DB(読み込みシート※編集厳禁)'!$B$3:$B$501,0),MATCH(T$14,'DB(読み込みシート※編集厳禁)'!$A$2:$AH$2,0)),"")</f>
        <v/>
      </c>
      <c r="U78" s="135"/>
      <c r="V78" s="166"/>
      <c r="W78" s="137" t="s">
        <v>15</v>
      </c>
      <c r="X78" s="138" t="str">
        <f t="shared" si="15"/>
        <v/>
      </c>
      <c r="Y78" s="139" t="str">
        <f t="shared" si="16"/>
        <v/>
      </c>
      <c r="Z78" s="144" t="str">
        <f t="shared" si="17"/>
        <v/>
      </c>
      <c r="AA78" s="1"/>
      <c r="AB78" s="6"/>
      <c r="AC78" s="6"/>
      <c r="AD78" s="6"/>
      <c r="AE78" s="6"/>
      <c r="AF78" s="6"/>
      <c r="AG78" s="6" t="str">
        <f t="shared" si="18"/>
        <v/>
      </c>
      <c r="AH78" s="6" t="str">
        <f t="shared" si="19"/>
        <v/>
      </c>
      <c r="AI78" s="6" t="str">
        <f t="shared" si="20"/>
        <v>-</v>
      </c>
      <c r="AJ78" s="6"/>
      <c r="AK78" s="6" t="str">
        <f t="shared" si="21"/>
        <v/>
      </c>
      <c r="AL78" s="6"/>
      <c r="AM78" s="6"/>
      <c r="AN78" s="6"/>
      <c r="AO78" s="6"/>
      <c r="AP78" s="6"/>
      <c r="AQ78" s="7"/>
      <c r="AR78" s="69"/>
      <c r="AS78" s="69"/>
      <c r="AT78" s="39">
        <v>62.0</v>
      </c>
      <c r="AU78" s="69" t="str">
        <f t="array" ref="AU78">IFERROR(INDEX('DB(読み込みシート※編集厳禁)'!$A$3:$AH$501,MATCH($C78,'DB(読み込みシート※編集厳禁)'!$B$3:$B$501,0),MATCH(AU$16,'DB(読み込みシート※編集厳禁)'!$A$2:$AH$2,0)),"")</f>
        <v/>
      </c>
      <c r="AV78" s="69" t="str">
        <f t="array" ref="AV78">IFERROR(INDEX('DB(読み込みシート※編集厳禁)'!$A$3:$AH$501,MATCH($C78,'DB(読み込みシート※編集厳禁)'!$B$3:$B$501,0),MATCH(AV$16,'DB(読み込みシート※編集厳禁)'!$A$2:$AH$2,0)),"")</f>
        <v/>
      </c>
      <c r="AW78" s="69" t="str">
        <f t="shared" si="22"/>
        <v/>
      </c>
      <c r="AX78" s="69" t="str">
        <f t="shared" si="23"/>
        <v/>
      </c>
      <c r="AY78" s="69" t="str">
        <f t="shared" si="24"/>
        <v/>
      </c>
      <c r="AZ78" s="69" t="str">
        <f t="shared" si="25"/>
        <v/>
      </c>
      <c r="BA78" s="69" t="str">
        <f t="shared" si="26"/>
        <v/>
      </c>
      <c r="BB78" s="69" t="str">
        <f t="shared" si="27"/>
        <v/>
      </c>
      <c r="BC78" s="69" t="str">
        <f t="shared" si="28"/>
        <v/>
      </c>
      <c r="BD78" s="70" t="str">
        <f t="shared" si="29"/>
        <v/>
      </c>
      <c r="BE78" s="70" t="str">
        <f t="shared" si="30"/>
        <v/>
      </c>
      <c r="BF78" s="1" t="str">
        <f t="shared" si="31"/>
        <v/>
      </c>
      <c r="BG78" s="1" t="str">
        <f t="shared" si="32"/>
        <v/>
      </c>
      <c r="BH78" s="1" t="str">
        <f t="shared" si="33"/>
        <v/>
      </c>
      <c r="BI78" s="1" t="str">
        <f t="shared" si="34"/>
        <v/>
      </c>
      <c r="BJ78" s="1" t="str">
        <f t="shared" si="35"/>
        <v/>
      </c>
      <c r="BK78" s="1" t="str">
        <f t="shared" si="36"/>
        <v/>
      </c>
      <c r="BL78" s="1" t="str">
        <f t="shared" si="37"/>
        <v/>
      </c>
      <c r="BM78" s="1" t="str">
        <f t="shared" si="38"/>
        <v/>
      </c>
      <c r="BN78" s="1" t="str">
        <f t="shared" si="39"/>
        <v/>
      </c>
      <c r="BO78" s="1" t="str">
        <f t="shared" si="40"/>
        <v/>
      </c>
      <c r="BP78" s="1" t="str">
        <f t="shared" si="41"/>
        <v/>
      </c>
      <c r="BQ78" s="1" t="str">
        <f t="shared" si="42"/>
        <v/>
      </c>
      <c r="BR78" s="1" t="str">
        <f t="shared" si="43"/>
        <v/>
      </c>
      <c r="BS78" s="1" t="str">
        <f t="shared" si="44"/>
        <v/>
      </c>
      <c r="BT78" s="1"/>
      <c r="BU78" s="1"/>
      <c r="BV78" s="1"/>
      <c r="BW78" s="1"/>
      <c r="BX78" s="1"/>
    </row>
    <row r="79">
      <c r="A79" s="1"/>
      <c r="B79" s="148" t="str">
        <f t="array" ref="B79">IFERROR(INDEX('DB(読み込みシート※編集厳禁)'!$A$3:$AH$501,MATCH($C79,'DB(読み込みシート※編集厳禁)'!$B$3:$B$501,0),MATCH(B$14,'DB(読み込みシート※編集厳禁)'!$A$2:$AH$2,0)),"")</f>
        <v/>
      </c>
      <c r="C79" s="149">
        <v>63.0</v>
      </c>
      <c r="D79" s="169" t="str">
        <f t="array" ref="D79">IFERROR(INDEX('DB(読み込みシート※編集厳禁)'!$A$3:$AH$501,MATCH($C79,'DB(読み込みシート※編集厳禁)'!$B$3:$B$501,0),MATCH(D$14,'DB(読み込みシート※編集厳禁)'!$A$2:$AH$2,0)),"")</f>
        <v/>
      </c>
      <c r="E79" s="170" t="str">
        <f t="array" ref="E79">IFERROR(INDEX('DB(読み込みシート※編集厳禁)'!$A$3:$AH$501,MATCH($C79,'DB(読み込みシート※編集厳禁)'!$B$3:$B$501,0),MATCH(E$14,'DB(読み込みシート※編集厳禁)'!$A$2:$AH$2,0)),"")</f>
        <v/>
      </c>
      <c r="F79" s="171" t="str">
        <f t="array" ref="F79">IFERROR(INDEX('DB(読み込みシート※編集厳禁)'!$A$3:$AH$501,MATCH($C79,'DB(読み込みシート※編集厳禁)'!$B$3:$B$501,0),MATCH(F$14,'DB(読み込みシート※編集厳禁)'!$A$2:$AH$2,0)),"")</f>
        <v/>
      </c>
      <c r="G79" s="133" t="str">
        <f t="shared" si="8"/>
        <v/>
      </c>
      <c r="H79" s="152" t="str">
        <f t="shared" si="9"/>
        <v>:00:000</v>
      </c>
      <c r="I79" s="135"/>
      <c r="J79" s="166"/>
      <c r="K79" s="137" t="s">
        <v>15</v>
      </c>
      <c r="L79" s="138" t="str">
        <f t="shared" si="10"/>
        <v/>
      </c>
      <c r="M79" s="139" t="str">
        <f t="shared" si="11"/>
        <v/>
      </c>
      <c r="N79" s="140" t="str">
        <f t="shared" si="12"/>
        <v/>
      </c>
      <c r="O79" s="141" t="str">
        <f t="shared" si="13"/>
        <v/>
      </c>
      <c r="P79" s="162" t="str">
        <f t="shared" si="14"/>
        <v>:00:000</v>
      </c>
      <c r="Q79" s="148" t="str">
        <f t="array" ref="Q79">IFERROR(INDEX('DB(読み込みシート※編集厳禁)'!$A$3:$AH$501,MATCH($C79,'DB(読み込みシート※編集厳禁)'!$B$3:$B$501,0),MATCH(Q$14,'DB(読み込みシート※編集厳禁)'!$A$2:$AH$2,0)),"")</f>
        <v/>
      </c>
      <c r="R79" s="149">
        <v>63.0</v>
      </c>
      <c r="S79" s="169" t="str">
        <f t="array" ref="S79">IFERROR(INDEX('DB(読み込みシート※編集厳禁)'!$A$3:$AH$501,MATCH($C79,'DB(読み込みシート※編集厳禁)'!$B$3:$B$501,0),MATCH(S$14,'DB(読み込みシート※編集厳禁)'!$A$2:$AH$2,0)),"")</f>
        <v/>
      </c>
      <c r="T79" s="170" t="str">
        <f t="array" ref="T79">IFERROR(INDEX('DB(読み込みシート※編集厳禁)'!$A$3:$AH$501,MATCH($C79,'DB(読み込みシート※編集厳禁)'!$B$3:$B$501,0),MATCH(T$14,'DB(読み込みシート※編集厳禁)'!$A$2:$AH$2,0)),"")</f>
        <v/>
      </c>
      <c r="U79" s="135"/>
      <c r="V79" s="166"/>
      <c r="W79" s="137" t="s">
        <v>15</v>
      </c>
      <c r="X79" s="138" t="str">
        <f t="shared" si="15"/>
        <v/>
      </c>
      <c r="Y79" s="139" t="str">
        <f t="shared" si="16"/>
        <v/>
      </c>
      <c r="Z79" s="144" t="str">
        <f t="shared" si="17"/>
        <v/>
      </c>
      <c r="AA79" s="1"/>
      <c r="AB79" s="6"/>
      <c r="AC79" s="6"/>
      <c r="AD79" s="6"/>
      <c r="AE79" s="6"/>
      <c r="AF79" s="6"/>
      <c r="AG79" s="6" t="str">
        <f t="shared" si="18"/>
        <v/>
      </c>
      <c r="AH79" s="6" t="str">
        <f t="shared" si="19"/>
        <v/>
      </c>
      <c r="AI79" s="6" t="str">
        <f t="shared" si="20"/>
        <v>-</v>
      </c>
      <c r="AJ79" s="6"/>
      <c r="AK79" s="6" t="str">
        <f t="shared" si="21"/>
        <v/>
      </c>
      <c r="AL79" s="6"/>
      <c r="AM79" s="6"/>
      <c r="AN79" s="6"/>
      <c r="AO79" s="6"/>
      <c r="AP79" s="6"/>
      <c r="AQ79" s="7"/>
      <c r="AR79" s="69"/>
      <c r="AS79" s="69"/>
      <c r="AT79" s="39">
        <v>63.0</v>
      </c>
      <c r="AU79" s="69" t="str">
        <f t="array" ref="AU79">IFERROR(INDEX('DB(読み込みシート※編集厳禁)'!$A$3:$AH$501,MATCH($C79,'DB(読み込みシート※編集厳禁)'!$B$3:$B$501,0),MATCH(AU$16,'DB(読み込みシート※編集厳禁)'!$A$2:$AH$2,0)),"")</f>
        <v/>
      </c>
      <c r="AV79" s="69" t="str">
        <f t="array" ref="AV79">IFERROR(INDEX('DB(読み込みシート※編集厳禁)'!$A$3:$AH$501,MATCH($C79,'DB(読み込みシート※編集厳禁)'!$B$3:$B$501,0),MATCH(AV$16,'DB(読み込みシート※編集厳禁)'!$A$2:$AH$2,0)),"")</f>
        <v/>
      </c>
      <c r="AW79" s="69" t="str">
        <f t="shared" si="22"/>
        <v/>
      </c>
      <c r="AX79" s="69" t="str">
        <f t="shared" si="23"/>
        <v/>
      </c>
      <c r="AY79" s="69" t="str">
        <f t="shared" si="24"/>
        <v/>
      </c>
      <c r="AZ79" s="69" t="str">
        <f t="shared" si="25"/>
        <v/>
      </c>
      <c r="BA79" s="69" t="str">
        <f t="shared" si="26"/>
        <v/>
      </c>
      <c r="BB79" s="69" t="str">
        <f t="shared" si="27"/>
        <v/>
      </c>
      <c r="BC79" s="69" t="str">
        <f t="shared" si="28"/>
        <v/>
      </c>
      <c r="BD79" s="70" t="str">
        <f t="shared" si="29"/>
        <v/>
      </c>
      <c r="BE79" s="70" t="str">
        <f t="shared" si="30"/>
        <v/>
      </c>
      <c r="BF79" s="1" t="str">
        <f t="shared" si="31"/>
        <v/>
      </c>
      <c r="BG79" s="1" t="str">
        <f t="shared" si="32"/>
        <v/>
      </c>
      <c r="BH79" s="1" t="str">
        <f t="shared" si="33"/>
        <v/>
      </c>
      <c r="BI79" s="1" t="str">
        <f t="shared" si="34"/>
        <v/>
      </c>
      <c r="BJ79" s="1" t="str">
        <f t="shared" si="35"/>
        <v/>
      </c>
      <c r="BK79" s="1" t="str">
        <f t="shared" si="36"/>
        <v/>
      </c>
      <c r="BL79" s="1" t="str">
        <f t="shared" si="37"/>
        <v/>
      </c>
      <c r="BM79" s="1" t="str">
        <f t="shared" si="38"/>
        <v/>
      </c>
      <c r="BN79" s="1" t="str">
        <f t="shared" si="39"/>
        <v/>
      </c>
      <c r="BO79" s="1" t="str">
        <f t="shared" si="40"/>
        <v/>
      </c>
      <c r="BP79" s="1" t="str">
        <f t="shared" si="41"/>
        <v/>
      </c>
      <c r="BQ79" s="1" t="str">
        <f t="shared" si="42"/>
        <v/>
      </c>
      <c r="BR79" s="1" t="str">
        <f t="shared" si="43"/>
        <v/>
      </c>
      <c r="BS79" s="1" t="str">
        <f t="shared" si="44"/>
        <v/>
      </c>
      <c r="BT79" s="1"/>
      <c r="BU79" s="1"/>
      <c r="BV79" s="1"/>
      <c r="BW79" s="1"/>
      <c r="BX79" s="1"/>
    </row>
    <row r="80">
      <c r="A80" s="1"/>
      <c r="B80" s="148" t="str">
        <f t="array" ref="B80">IFERROR(INDEX('DB(読み込みシート※編集厳禁)'!$A$3:$AH$501,MATCH($C80,'DB(読み込みシート※編集厳禁)'!$B$3:$B$501,0),MATCH(B$14,'DB(読み込みシート※編集厳禁)'!$A$2:$AH$2,0)),"")</f>
        <v/>
      </c>
      <c r="C80" s="149">
        <v>64.0</v>
      </c>
      <c r="D80" s="169" t="str">
        <f t="array" ref="D80">IFERROR(INDEX('DB(読み込みシート※編集厳禁)'!$A$3:$AH$501,MATCH($C80,'DB(読み込みシート※編集厳禁)'!$B$3:$B$501,0),MATCH(D$14,'DB(読み込みシート※編集厳禁)'!$A$2:$AH$2,0)),"")</f>
        <v/>
      </c>
      <c r="E80" s="170" t="str">
        <f t="array" ref="E80">IFERROR(INDEX('DB(読み込みシート※編集厳禁)'!$A$3:$AH$501,MATCH($C80,'DB(読み込みシート※編集厳禁)'!$B$3:$B$501,0),MATCH(E$14,'DB(読み込みシート※編集厳禁)'!$A$2:$AH$2,0)),"")</f>
        <v/>
      </c>
      <c r="F80" s="171" t="str">
        <f t="array" ref="F80">IFERROR(INDEX('DB(読み込みシート※編集厳禁)'!$A$3:$AH$501,MATCH($C80,'DB(読み込みシート※編集厳禁)'!$B$3:$B$501,0),MATCH(F$14,'DB(読み込みシート※編集厳禁)'!$A$2:$AH$2,0)),"")</f>
        <v/>
      </c>
      <c r="G80" s="133" t="str">
        <f t="shared" si="8"/>
        <v/>
      </c>
      <c r="H80" s="152" t="str">
        <f t="shared" si="9"/>
        <v>:00:000</v>
      </c>
      <c r="I80" s="135"/>
      <c r="J80" s="166"/>
      <c r="K80" s="137" t="s">
        <v>15</v>
      </c>
      <c r="L80" s="138" t="str">
        <f t="shared" si="10"/>
        <v/>
      </c>
      <c r="M80" s="139" t="str">
        <f t="shared" si="11"/>
        <v/>
      </c>
      <c r="N80" s="140" t="str">
        <f t="shared" si="12"/>
        <v/>
      </c>
      <c r="O80" s="141" t="str">
        <f t="shared" si="13"/>
        <v/>
      </c>
      <c r="P80" s="162" t="str">
        <f t="shared" si="14"/>
        <v>:00:000</v>
      </c>
      <c r="Q80" s="148" t="str">
        <f t="array" ref="Q80">IFERROR(INDEX('DB(読み込みシート※編集厳禁)'!$A$3:$AH$501,MATCH($C80,'DB(読み込みシート※編集厳禁)'!$B$3:$B$501,0),MATCH(Q$14,'DB(読み込みシート※編集厳禁)'!$A$2:$AH$2,0)),"")</f>
        <v/>
      </c>
      <c r="R80" s="149">
        <v>64.0</v>
      </c>
      <c r="S80" s="169" t="str">
        <f t="array" ref="S80">IFERROR(INDEX('DB(読み込みシート※編集厳禁)'!$A$3:$AH$501,MATCH($C80,'DB(読み込みシート※編集厳禁)'!$B$3:$B$501,0),MATCH(S$14,'DB(読み込みシート※編集厳禁)'!$A$2:$AH$2,0)),"")</f>
        <v/>
      </c>
      <c r="T80" s="170" t="str">
        <f t="array" ref="T80">IFERROR(INDEX('DB(読み込みシート※編集厳禁)'!$A$3:$AH$501,MATCH($C80,'DB(読み込みシート※編集厳禁)'!$B$3:$B$501,0),MATCH(T$14,'DB(読み込みシート※編集厳禁)'!$A$2:$AH$2,0)),"")</f>
        <v/>
      </c>
      <c r="U80" s="135"/>
      <c r="V80" s="166"/>
      <c r="W80" s="137" t="s">
        <v>15</v>
      </c>
      <c r="X80" s="138" t="str">
        <f t="shared" si="15"/>
        <v/>
      </c>
      <c r="Y80" s="139" t="str">
        <f t="shared" si="16"/>
        <v/>
      </c>
      <c r="Z80" s="144" t="str">
        <f t="shared" si="17"/>
        <v/>
      </c>
      <c r="AA80" s="1"/>
      <c r="AB80" s="6"/>
      <c r="AC80" s="6"/>
      <c r="AD80" s="6"/>
      <c r="AE80" s="6"/>
      <c r="AF80" s="6"/>
      <c r="AG80" s="6" t="str">
        <f t="shared" si="18"/>
        <v/>
      </c>
      <c r="AH80" s="6" t="str">
        <f t="shared" si="19"/>
        <v/>
      </c>
      <c r="AI80" s="6" t="str">
        <f t="shared" si="20"/>
        <v>-</v>
      </c>
      <c r="AJ80" s="6"/>
      <c r="AK80" s="6" t="str">
        <f t="shared" si="21"/>
        <v/>
      </c>
      <c r="AL80" s="6"/>
      <c r="AM80" s="6"/>
      <c r="AN80" s="6"/>
      <c r="AO80" s="6"/>
      <c r="AP80" s="6"/>
      <c r="AQ80" s="7"/>
      <c r="AR80" s="69"/>
      <c r="AS80" s="69"/>
      <c r="AT80" s="39">
        <v>64.0</v>
      </c>
      <c r="AU80" s="69" t="str">
        <f t="array" ref="AU80">IFERROR(INDEX('DB(読み込みシート※編集厳禁)'!$A$3:$AH$501,MATCH($C80,'DB(読み込みシート※編集厳禁)'!$B$3:$B$501,0),MATCH(AU$16,'DB(読み込みシート※編集厳禁)'!$A$2:$AH$2,0)),"")</f>
        <v/>
      </c>
      <c r="AV80" s="69" t="str">
        <f t="array" ref="AV80">IFERROR(INDEX('DB(読み込みシート※編集厳禁)'!$A$3:$AH$501,MATCH($C80,'DB(読み込みシート※編集厳禁)'!$B$3:$B$501,0),MATCH(AV$16,'DB(読み込みシート※編集厳禁)'!$A$2:$AH$2,0)),"")</f>
        <v/>
      </c>
      <c r="AW80" s="69" t="str">
        <f t="shared" si="22"/>
        <v/>
      </c>
      <c r="AX80" s="69" t="str">
        <f t="shared" si="23"/>
        <v/>
      </c>
      <c r="AY80" s="69" t="str">
        <f t="shared" si="24"/>
        <v/>
      </c>
      <c r="AZ80" s="69" t="str">
        <f t="shared" si="25"/>
        <v/>
      </c>
      <c r="BA80" s="69" t="str">
        <f t="shared" si="26"/>
        <v/>
      </c>
      <c r="BB80" s="69" t="str">
        <f t="shared" si="27"/>
        <v/>
      </c>
      <c r="BC80" s="69" t="str">
        <f t="shared" si="28"/>
        <v/>
      </c>
      <c r="BD80" s="70" t="str">
        <f t="shared" si="29"/>
        <v/>
      </c>
      <c r="BE80" s="70" t="str">
        <f t="shared" si="30"/>
        <v/>
      </c>
      <c r="BF80" s="1" t="str">
        <f t="shared" si="31"/>
        <v/>
      </c>
      <c r="BG80" s="1" t="str">
        <f t="shared" si="32"/>
        <v/>
      </c>
      <c r="BH80" s="1" t="str">
        <f t="shared" si="33"/>
        <v/>
      </c>
      <c r="BI80" s="1" t="str">
        <f t="shared" si="34"/>
        <v/>
      </c>
      <c r="BJ80" s="1" t="str">
        <f t="shared" si="35"/>
        <v/>
      </c>
      <c r="BK80" s="1" t="str">
        <f t="shared" si="36"/>
        <v/>
      </c>
      <c r="BL80" s="1" t="str">
        <f t="shared" si="37"/>
        <v/>
      </c>
      <c r="BM80" s="1" t="str">
        <f t="shared" si="38"/>
        <v/>
      </c>
      <c r="BN80" s="1" t="str">
        <f t="shared" si="39"/>
        <v/>
      </c>
      <c r="BO80" s="1" t="str">
        <f t="shared" si="40"/>
        <v/>
      </c>
      <c r="BP80" s="1" t="str">
        <f t="shared" si="41"/>
        <v/>
      </c>
      <c r="BQ80" s="1" t="str">
        <f t="shared" si="42"/>
        <v/>
      </c>
      <c r="BR80" s="1" t="str">
        <f t="shared" si="43"/>
        <v/>
      </c>
      <c r="BS80" s="1" t="str">
        <f t="shared" si="44"/>
        <v/>
      </c>
      <c r="BT80" s="1"/>
      <c r="BU80" s="1"/>
      <c r="BV80" s="1"/>
      <c r="BW80" s="1"/>
      <c r="BX80" s="1"/>
    </row>
    <row r="81">
      <c r="A81" s="1"/>
      <c r="B81" s="148" t="str">
        <f t="array" ref="B81">IFERROR(INDEX('DB(読み込みシート※編集厳禁)'!$A$3:$AH$501,MATCH($C81,'DB(読み込みシート※編集厳禁)'!$B$3:$B$501,0),MATCH(B$14,'DB(読み込みシート※編集厳禁)'!$A$2:$AH$2,0)),"")</f>
        <v/>
      </c>
      <c r="C81" s="149">
        <v>65.0</v>
      </c>
      <c r="D81" s="169" t="str">
        <f t="array" ref="D81">IFERROR(INDEX('DB(読み込みシート※編集厳禁)'!$A$3:$AH$501,MATCH($C81,'DB(読み込みシート※編集厳禁)'!$B$3:$B$501,0),MATCH(D$14,'DB(読み込みシート※編集厳禁)'!$A$2:$AH$2,0)),"")</f>
        <v/>
      </c>
      <c r="E81" s="170" t="str">
        <f t="array" ref="E81">IFERROR(INDEX('DB(読み込みシート※編集厳禁)'!$A$3:$AH$501,MATCH($C81,'DB(読み込みシート※編集厳禁)'!$B$3:$B$501,0),MATCH(E$14,'DB(読み込みシート※編集厳禁)'!$A$2:$AH$2,0)),"")</f>
        <v/>
      </c>
      <c r="F81" s="171" t="str">
        <f t="array" ref="F81">IFERROR(INDEX('DB(読み込みシート※編集厳禁)'!$A$3:$AH$501,MATCH($C81,'DB(読み込みシート※編集厳禁)'!$B$3:$B$501,0),MATCH(F$14,'DB(読み込みシート※編集厳禁)'!$A$2:$AH$2,0)),"")</f>
        <v/>
      </c>
      <c r="G81" s="133" t="str">
        <f t="shared" si="8"/>
        <v/>
      </c>
      <c r="H81" s="152" t="str">
        <f t="shared" si="9"/>
        <v>:00:000</v>
      </c>
      <c r="I81" s="135"/>
      <c r="J81" s="166"/>
      <c r="K81" s="137" t="s">
        <v>15</v>
      </c>
      <c r="L81" s="138" t="str">
        <f t="shared" si="10"/>
        <v/>
      </c>
      <c r="M81" s="139" t="str">
        <f t="shared" si="11"/>
        <v/>
      </c>
      <c r="N81" s="140" t="str">
        <f t="shared" si="12"/>
        <v/>
      </c>
      <c r="O81" s="141" t="str">
        <f t="shared" si="13"/>
        <v/>
      </c>
      <c r="P81" s="162" t="str">
        <f t="shared" si="14"/>
        <v>:00:000</v>
      </c>
      <c r="Q81" s="148" t="str">
        <f t="array" ref="Q81">IFERROR(INDEX('DB(読み込みシート※編集厳禁)'!$A$3:$AH$501,MATCH($C81,'DB(読み込みシート※編集厳禁)'!$B$3:$B$501,0),MATCH(Q$14,'DB(読み込みシート※編集厳禁)'!$A$2:$AH$2,0)),"")</f>
        <v/>
      </c>
      <c r="R81" s="149">
        <v>65.0</v>
      </c>
      <c r="S81" s="169" t="str">
        <f t="array" ref="S81">IFERROR(INDEX('DB(読み込みシート※編集厳禁)'!$A$3:$AH$501,MATCH($C81,'DB(読み込みシート※編集厳禁)'!$B$3:$B$501,0),MATCH(S$14,'DB(読み込みシート※編集厳禁)'!$A$2:$AH$2,0)),"")</f>
        <v/>
      </c>
      <c r="T81" s="170" t="str">
        <f t="array" ref="T81">IFERROR(INDEX('DB(読み込みシート※編集厳禁)'!$A$3:$AH$501,MATCH($C81,'DB(読み込みシート※編集厳禁)'!$B$3:$B$501,0),MATCH(T$14,'DB(読み込みシート※編集厳禁)'!$A$2:$AH$2,0)),"")</f>
        <v/>
      </c>
      <c r="U81" s="135"/>
      <c r="V81" s="166"/>
      <c r="W81" s="137" t="s">
        <v>15</v>
      </c>
      <c r="X81" s="138" t="str">
        <f t="shared" si="15"/>
        <v/>
      </c>
      <c r="Y81" s="139" t="str">
        <f t="shared" si="16"/>
        <v/>
      </c>
      <c r="Z81" s="144" t="str">
        <f t="shared" si="17"/>
        <v/>
      </c>
      <c r="AA81" s="1"/>
      <c r="AB81" s="6"/>
      <c r="AC81" s="6"/>
      <c r="AD81" s="6"/>
      <c r="AE81" s="6"/>
      <c r="AF81" s="6"/>
      <c r="AG81" s="6" t="str">
        <f t="shared" si="18"/>
        <v/>
      </c>
      <c r="AH81" s="6" t="str">
        <f t="shared" si="19"/>
        <v/>
      </c>
      <c r="AI81" s="6" t="str">
        <f t="shared" si="20"/>
        <v>-</v>
      </c>
      <c r="AJ81" s="6"/>
      <c r="AK81" s="6" t="str">
        <f t="shared" si="21"/>
        <v/>
      </c>
      <c r="AL81" s="6"/>
      <c r="AM81" s="6"/>
      <c r="AN81" s="6"/>
      <c r="AO81" s="6"/>
      <c r="AP81" s="6"/>
      <c r="AQ81" s="7"/>
      <c r="AR81" s="69"/>
      <c r="AS81" s="69"/>
      <c r="AT81" s="39">
        <v>65.0</v>
      </c>
      <c r="AU81" s="69" t="str">
        <f t="array" ref="AU81">IFERROR(INDEX('DB(読み込みシート※編集厳禁)'!$A$3:$AH$501,MATCH($C81,'DB(読み込みシート※編集厳禁)'!$B$3:$B$501,0),MATCH(AU$16,'DB(読み込みシート※編集厳禁)'!$A$2:$AH$2,0)),"")</f>
        <v/>
      </c>
      <c r="AV81" s="69" t="str">
        <f t="array" ref="AV81">IFERROR(INDEX('DB(読み込みシート※編集厳禁)'!$A$3:$AH$501,MATCH($C81,'DB(読み込みシート※編集厳禁)'!$B$3:$B$501,0),MATCH(AV$16,'DB(読み込みシート※編集厳禁)'!$A$2:$AH$2,0)),"")</f>
        <v/>
      </c>
      <c r="AW81" s="69" t="str">
        <f t="shared" si="22"/>
        <v/>
      </c>
      <c r="AX81" s="69" t="str">
        <f t="shared" si="23"/>
        <v/>
      </c>
      <c r="AY81" s="69" t="str">
        <f t="shared" si="24"/>
        <v/>
      </c>
      <c r="AZ81" s="69" t="str">
        <f t="shared" si="25"/>
        <v/>
      </c>
      <c r="BA81" s="69" t="str">
        <f t="shared" si="26"/>
        <v/>
      </c>
      <c r="BB81" s="69" t="str">
        <f t="shared" si="27"/>
        <v/>
      </c>
      <c r="BC81" s="69" t="str">
        <f t="shared" si="28"/>
        <v/>
      </c>
      <c r="BD81" s="70" t="str">
        <f t="shared" si="29"/>
        <v/>
      </c>
      <c r="BE81" s="70" t="str">
        <f t="shared" si="30"/>
        <v/>
      </c>
      <c r="BF81" s="1" t="str">
        <f t="shared" si="31"/>
        <v/>
      </c>
      <c r="BG81" s="1" t="str">
        <f t="shared" si="32"/>
        <v/>
      </c>
      <c r="BH81" s="1" t="str">
        <f t="shared" si="33"/>
        <v/>
      </c>
      <c r="BI81" s="1" t="str">
        <f t="shared" si="34"/>
        <v/>
      </c>
      <c r="BJ81" s="1" t="str">
        <f t="shared" si="35"/>
        <v/>
      </c>
      <c r="BK81" s="1" t="str">
        <f t="shared" si="36"/>
        <v/>
      </c>
      <c r="BL81" s="1" t="str">
        <f t="shared" si="37"/>
        <v/>
      </c>
      <c r="BM81" s="1" t="str">
        <f t="shared" si="38"/>
        <v/>
      </c>
      <c r="BN81" s="1" t="str">
        <f t="shared" si="39"/>
        <v/>
      </c>
      <c r="BO81" s="1" t="str">
        <f t="shared" si="40"/>
        <v/>
      </c>
      <c r="BP81" s="1" t="str">
        <f t="shared" si="41"/>
        <v/>
      </c>
      <c r="BQ81" s="1" t="str">
        <f t="shared" si="42"/>
        <v/>
      </c>
      <c r="BR81" s="1" t="str">
        <f t="shared" si="43"/>
        <v/>
      </c>
      <c r="BS81" s="1" t="str">
        <f t="shared" si="44"/>
        <v/>
      </c>
      <c r="BT81" s="1"/>
      <c r="BU81" s="1"/>
      <c r="BV81" s="1"/>
      <c r="BW81" s="1"/>
      <c r="BX81" s="1"/>
    </row>
    <row r="82">
      <c r="A82" s="1"/>
      <c r="B82" s="148" t="str">
        <f t="array" ref="B82">IFERROR(INDEX('DB(読み込みシート※編集厳禁)'!$A$3:$AH$501,MATCH($C82,'DB(読み込みシート※編集厳禁)'!$B$3:$B$501,0),MATCH(B$14,'DB(読み込みシート※編集厳禁)'!$A$2:$AH$2,0)),"")</f>
        <v/>
      </c>
      <c r="C82" s="149">
        <v>66.0</v>
      </c>
      <c r="D82" s="169" t="str">
        <f t="array" ref="D82">IFERROR(INDEX('DB(読み込みシート※編集厳禁)'!$A$3:$AH$501,MATCH($C82,'DB(読み込みシート※編集厳禁)'!$B$3:$B$501,0),MATCH(D$14,'DB(読み込みシート※編集厳禁)'!$A$2:$AH$2,0)),"")</f>
        <v/>
      </c>
      <c r="E82" s="170" t="str">
        <f t="array" ref="E82">IFERROR(INDEX('DB(読み込みシート※編集厳禁)'!$A$3:$AH$501,MATCH($C82,'DB(読み込みシート※編集厳禁)'!$B$3:$B$501,0),MATCH(E$14,'DB(読み込みシート※編集厳禁)'!$A$2:$AH$2,0)),"")</f>
        <v/>
      </c>
      <c r="F82" s="171" t="str">
        <f t="array" ref="F82">IFERROR(INDEX('DB(読み込みシート※編集厳禁)'!$A$3:$AH$501,MATCH($C82,'DB(読み込みシート※編集厳禁)'!$B$3:$B$501,0),MATCH(F$14,'DB(読み込みシート※編集厳禁)'!$A$2:$AH$2,0)),"")</f>
        <v/>
      </c>
      <c r="G82" s="133" t="str">
        <f t="shared" si="8"/>
        <v/>
      </c>
      <c r="H82" s="152" t="str">
        <f t="shared" si="9"/>
        <v>:00:000</v>
      </c>
      <c r="I82" s="135"/>
      <c r="J82" s="166"/>
      <c r="K82" s="137" t="s">
        <v>15</v>
      </c>
      <c r="L82" s="138" t="str">
        <f t="shared" si="10"/>
        <v/>
      </c>
      <c r="M82" s="139" t="str">
        <f t="shared" si="11"/>
        <v/>
      </c>
      <c r="N82" s="140" t="str">
        <f t="shared" si="12"/>
        <v/>
      </c>
      <c r="O82" s="141" t="str">
        <f t="shared" si="13"/>
        <v/>
      </c>
      <c r="P82" s="162" t="str">
        <f t="shared" si="14"/>
        <v>:00:000</v>
      </c>
      <c r="Q82" s="148" t="str">
        <f t="array" ref="Q82">IFERROR(INDEX('DB(読み込みシート※編集厳禁)'!$A$3:$AH$501,MATCH($C82,'DB(読み込みシート※編集厳禁)'!$B$3:$B$501,0),MATCH(Q$14,'DB(読み込みシート※編集厳禁)'!$A$2:$AH$2,0)),"")</f>
        <v/>
      </c>
      <c r="R82" s="149">
        <v>66.0</v>
      </c>
      <c r="S82" s="169" t="str">
        <f t="array" ref="S82">IFERROR(INDEX('DB(読み込みシート※編集厳禁)'!$A$3:$AH$501,MATCH($C82,'DB(読み込みシート※編集厳禁)'!$B$3:$B$501,0),MATCH(S$14,'DB(読み込みシート※編集厳禁)'!$A$2:$AH$2,0)),"")</f>
        <v/>
      </c>
      <c r="T82" s="170" t="str">
        <f t="array" ref="T82">IFERROR(INDEX('DB(読み込みシート※編集厳禁)'!$A$3:$AH$501,MATCH($C82,'DB(読み込みシート※編集厳禁)'!$B$3:$B$501,0),MATCH(T$14,'DB(読み込みシート※編集厳禁)'!$A$2:$AH$2,0)),"")</f>
        <v/>
      </c>
      <c r="U82" s="135"/>
      <c r="V82" s="166"/>
      <c r="W82" s="137" t="s">
        <v>15</v>
      </c>
      <c r="X82" s="138" t="str">
        <f t="shared" si="15"/>
        <v/>
      </c>
      <c r="Y82" s="139" t="str">
        <f t="shared" si="16"/>
        <v/>
      </c>
      <c r="Z82" s="144" t="str">
        <f t="shared" si="17"/>
        <v/>
      </c>
      <c r="AA82" s="1"/>
      <c r="AB82" s="6"/>
      <c r="AC82" s="6"/>
      <c r="AD82" s="6"/>
      <c r="AE82" s="6"/>
      <c r="AF82" s="6"/>
      <c r="AG82" s="6" t="str">
        <f t="shared" si="18"/>
        <v/>
      </c>
      <c r="AH82" s="6" t="str">
        <f t="shared" si="19"/>
        <v/>
      </c>
      <c r="AI82" s="6" t="str">
        <f t="shared" si="20"/>
        <v>-</v>
      </c>
      <c r="AJ82" s="6"/>
      <c r="AK82" s="6" t="str">
        <f t="shared" si="21"/>
        <v/>
      </c>
      <c r="AL82" s="6"/>
      <c r="AM82" s="6"/>
      <c r="AN82" s="6"/>
      <c r="AO82" s="6"/>
      <c r="AP82" s="6"/>
      <c r="AQ82" s="7"/>
      <c r="AR82" s="69"/>
      <c r="AS82" s="69"/>
      <c r="AT82" s="39">
        <v>66.0</v>
      </c>
      <c r="AU82" s="69" t="str">
        <f t="array" ref="AU82">IFERROR(INDEX('DB(読み込みシート※編集厳禁)'!$A$3:$AH$501,MATCH($C82,'DB(読み込みシート※編集厳禁)'!$B$3:$B$501,0),MATCH(AU$16,'DB(読み込みシート※編集厳禁)'!$A$2:$AH$2,0)),"")</f>
        <v/>
      </c>
      <c r="AV82" s="69" t="str">
        <f t="array" ref="AV82">IFERROR(INDEX('DB(読み込みシート※編集厳禁)'!$A$3:$AH$501,MATCH($C82,'DB(読み込みシート※編集厳禁)'!$B$3:$B$501,0),MATCH(AV$16,'DB(読み込みシート※編集厳禁)'!$A$2:$AH$2,0)),"")</f>
        <v/>
      </c>
      <c r="AW82" s="69" t="str">
        <f t="shared" si="22"/>
        <v/>
      </c>
      <c r="AX82" s="69" t="str">
        <f t="shared" si="23"/>
        <v/>
      </c>
      <c r="AY82" s="69" t="str">
        <f t="shared" si="24"/>
        <v/>
      </c>
      <c r="AZ82" s="69" t="str">
        <f t="shared" si="25"/>
        <v/>
      </c>
      <c r="BA82" s="69" t="str">
        <f t="shared" si="26"/>
        <v/>
      </c>
      <c r="BB82" s="69" t="str">
        <f t="shared" si="27"/>
        <v/>
      </c>
      <c r="BC82" s="69" t="str">
        <f t="shared" si="28"/>
        <v/>
      </c>
      <c r="BD82" s="70" t="str">
        <f t="shared" si="29"/>
        <v/>
      </c>
      <c r="BE82" s="70" t="str">
        <f t="shared" si="30"/>
        <v/>
      </c>
      <c r="BF82" s="1" t="str">
        <f t="shared" si="31"/>
        <v/>
      </c>
      <c r="BG82" s="1" t="str">
        <f t="shared" si="32"/>
        <v/>
      </c>
      <c r="BH82" s="1" t="str">
        <f t="shared" si="33"/>
        <v/>
      </c>
      <c r="BI82" s="1" t="str">
        <f t="shared" si="34"/>
        <v/>
      </c>
      <c r="BJ82" s="1" t="str">
        <f t="shared" si="35"/>
        <v/>
      </c>
      <c r="BK82" s="1" t="str">
        <f t="shared" si="36"/>
        <v/>
      </c>
      <c r="BL82" s="1" t="str">
        <f t="shared" si="37"/>
        <v/>
      </c>
      <c r="BM82" s="1" t="str">
        <f t="shared" si="38"/>
        <v/>
      </c>
      <c r="BN82" s="1" t="str">
        <f t="shared" si="39"/>
        <v/>
      </c>
      <c r="BO82" s="1" t="str">
        <f t="shared" si="40"/>
        <v/>
      </c>
      <c r="BP82" s="1" t="str">
        <f t="shared" si="41"/>
        <v/>
      </c>
      <c r="BQ82" s="1" t="str">
        <f t="shared" si="42"/>
        <v/>
      </c>
      <c r="BR82" s="1" t="str">
        <f t="shared" si="43"/>
        <v/>
      </c>
      <c r="BS82" s="1" t="str">
        <f t="shared" si="44"/>
        <v/>
      </c>
      <c r="BT82" s="1"/>
      <c r="BU82" s="1"/>
      <c r="BV82" s="1"/>
      <c r="BW82" s="1"/>
      <c r="BX82" s="1"/>
    </row>
    <row r="83">
      <c r="A83" s="1"/>
      <c r="B83" s="148" t="str">
        <f t="array" ref="B83">IFERROR(INDEX('DB(読み込みシート※編集厳禁)'!$A$3:$AH$501,MATCH($C83,'DB(読み込みシート※編集厳禁)'!$B$3:$B$501,0),MATCH(B$14,'DB(読み込みシート※編集厳禁)'!$A$2:$AH$2,0)),"")</f>
        <v/>
      </c>
      <c r="C83" s="149">
        <v>67.0</v>
      </c>
      <c r="D83" s="169" t="str">
        <f t="array" ref="D83">IFERROR(INDEX('DB(読み込みシート※編集厳禁)'!$A$3:$AH$501,MATCH($C83,'DB(読み込みシート※編集厳禁)'!$B$3:$B$501,0),MATCH(D$14,'DB(読み込みシート※編集厳禁)'!$A$2:$AH$2,0)),"")</f>
        <v/>
      </c>
      <c r="E83" s="170" t="str">
        <f t="array" ref="E83">IFERROR(INDEX('DB(読み込みシート※編集厳禁)'!$A$3:$AH$501,MATCH($C83,'DB(読み込みシート※編集厳禁)'!$B$3:$B$501,0),MATCH(E$14,'DB(読み込みシート※編集厳禁)'!$A$2:$AH$2,0)),"")</f>
        <v/>
      </c>
      <c r="F83" s="171" t="str">
        <f t="array" ref="F83">IFERROR(INDEX('DB(読み込みシート※編集厳禁)'!$A$3:$AH$501,MATCH($C83,'DB(読み込みシート※編集厳禁)'!$B$3:$B$501,0),MATCH(F$14,'DB(読み込みシート※編集厳禁)'!$A$2:$AH$2,0)),"")</f>
        <v/>
      </c>
      <c r="G83" s="133" t="str">
        <f t="shared" si="8"/>
        <v/>
      </c>
      <c r="H83" s="152" t="str">
        <f t="shared" si="9"/>
        <v>:00:000</v>
      </c>
      <c r="I83" s="135"/>
      <c r="J83" s="166"/>
      <c r="K83" s="137" t="s">
        <v>15</v>
      </c>
      <c r="L83" s="138" t="str">
        <f t="shared" si="10"/>
        <v/>
      </c>
      <c r="M83" s="139" t="str">
        <f t="shared" si="11"/>
        <v/>
      </c>
      <c r="N83" s="140" t="str">
        <f t="shared" si="12"/>
        <v/>
      </c>
      <c r="O83" s="141" t="str">
        <f t="shared" si="13"/>
        <v/>
      </c>
      <c r="P83" s="162" t="str">
        <f t="shared" si="14"/>
        <v>:00:000</v>
      </c>
      <c r="Q83" s="148" t="str">
        <f t="array" ref="Q83">IFERROR(INDEX('DB(読み込みシート※編集厳禁)'!$A$3:$AH$501,MATCH($C83,'DB(読み込みシート※編集厳禁)'!$B$3:$B$501,0),MATCH(Q$14,'DB(読み込みシート※編集厳禁)'!$A$2:$AH$2,0)),"")</f>
        <v/>
      </c>
      <c r="R83" s="149">
        <v>67.0</v>
      </c>
      <c r="S83" s="169" t="str">
        <f t="array" ref="S83">IFERROR(INDEX('DB(読み込みシート※編集厳禁)'!$A$3:$AH$501,MATCH($C83,'DB(読み込みシート※編集厳禁)'!$B$3:$B$501,0),MATCH(S$14,'DB(読み込みシート※編集厳禁)'!$A$2:$AH$2,0)),"")</f>
        <v/>
      </c>
      <c r="T83" s="170" t="str">
        <f t="array" ref="T83">IFERROR(INDEX('DB(読み込みシート※編集厳禁)'!$A$3:$AH$501,MATCH($C83,'DB(読み込みシート※編集厳禁)'!$B$3:$B$501,0),MATCH(T$14,'DB(読み込みシート※編集厳禁)'!$A$2:$AH$2,0)),"")</f>
        <v/>
      </c>
      <c r="U83" s="135"/>
      <c r="V83" s="166"/>
      <c r="W83" s="137" t="s">
        <v>15</v>
      </c>
      <c r="X83" s="138" t="str">
        <f t="shared" si="15"/>
        <v/>
      </c>
      <c r="Y83" s="139" t="str">
        <f t="shared" si="16"/>
        <v/>
      </c>
      <c r="Z83" s="144" t="str">
        <f t="shared" si="17"/>
        <v/>
      </c>
      <c r="AA83" s="1"/>
      <c r="AB83" s="6"/>
      <c r="AC83" s="6"/>
      <c r="AD83" s="6"/>
      <c r="AE83" s="6"/>
      <c r="AF83" s="6"/>
      <c r="AG83" s="6" t="str">
        <f t="shared" si="18"/>
        <v/>
      </c>
      <c r="AH83" s="6" t="str">
        <f t="shared" si="19"/>
        <v/>
      </c>
      <c r="AI83" s="6" t="str">
        <f t="shared" si="20"/>
        <v>-</v>
      </c>
      <c r="AJ83" s="6"/>
      <c r="AK83" s="6" t="str">
        <f t="shared" si="21"/>
        <v/>
      </c>
      <c r="AL83" s="6"/>
      <c r="AM83" s="6"/>
      <c r="AN83" s="6"/>
      <c r="AO83" s="6"/>
      <c r="AP83" s="6"/>
      <c r="AQ83" s="7"/>
      <c r="AR83" s="69"/>
      <c r="AS83" s="69"/>
      <c r="AT83" s="39">
        <v>67.0</v>
      </c>
      <c r="AU83" s="69" t="str">
        <f t="array" ref="AU83">IFERROR(INDEX('DB(読み込みシート※編集厳禁)'!$A$3:$AH$501,MATCH($C83,'DB(読み込みシート※編集厳禁)'!$B$3:$B$501,0),MATCH(AU$16,'DB(読み込みシート※編集厳禁)'!$A$2:$AH$2,0)),"")</f>
        <v/>
      </c>
      <c r="AV83" s="69" t="str">
        <f t="array" ref="AV83">IFERROR(INDEX('DB(読み込みシート※編集厳禁)'!$A$3:$AH$501,MATCH($C83,'DB(読み込みシート※編集厳禁)'!$B$3:$B$501,0),MATCH(AV$16,'DB(読み込みシート※編集厳禁)'!$A$2:$AH$2,0)),"")</f>
        <v/>
      </c>
      <c r="AW83" s="69" t="str">
        <f t="shared" si="22"/>
        <v/>
      </c>
      <c r="AX83" s="69" t="str">
        <f t="shared" si="23"/>
        <v/>
      </c>
      <c r="AY83" s="69" t="str">
        <f t="shared" si="24"/>
        <v/>
      </c>
      <c r="AZ83" s="69" t="str">
        <f t="shared" si="25"/>
        <v/>
      </c>
      <c r="BA83" s="69" t="str">
        <f t="shared" si="26"/>
        <v/>
      </c>
      <c r="BB83" s="69" t="str">
        <f t="shared" si="27"/>
        <v/>
      </c>
      <c r="BC83" s="69" t="str">
        <f t="shared" si="28"/>
        <v/>
      </c>
      <c r="BD83" s="70" t="str">
        <f t="shared" si="29"/>
        <v/>
      </c>
      <c r="BE83" s="70" t="str">
        <f t="shared" si="30"/>
        <v/>
      </c>
      <c r="BF83" s="1" t="str">
        <f t="shared" si="31"/>
        <v/>
      </c>
      <c r="BG83" s="1" t="str">
        <f t="shared" si="32"/>
        <v/>
      </c>
      <c r="BH83" s="1" t="str">
        <f t="shared" si="33"/>
        <v/>
      </c>
      <c r="BI83" s="1" t="str">
        <f t="shared" si="34"/>
        <v/>
      </c>
      <c r="BJ83" s="1" t="str">
        <f t="shared" si="35"/>
        <v/>
      </c>
      <c r="BK83" s="1" t="str">
        <f t="shared" si="36"/>
        <v/>
      </c>
      <c r="BL83" s="1" t="str">
        <f t="shared" si="37"/>
        <v/>
      </c>
      <c r="BM83" s="1" t="str">
        <f t="shared" si="38"/>
        <v/>
      </c>
      <c r="BN83" s="1" t="str">
        <f t="shared" si="39"/>
        <v/>
      </c>
      <c r="BO83" s="1" t="str">
        <f t="shared" si="40"/>
        <v/>
      </c>
      <c r="BP83" s="1" t="str">
        <f t="shared" si="41"/>
        <v/>
      </c>
      <c r="BQ83" s="1" t="str">
        <f t="shared" si="42"/>
        <v/>
      </c>
      <c r="BR83" s="1" t="str">
        <f t="shared" si="43"/>
        <v/>
      </c>
      <c r="BS83" s="1" t="str">
        <f t="shared" si="44"/>
        <v/>
      </c>
      <c r="BT83" s="1"/>
      <c r="BU83" s="1"/>
      <c r="BV83" s="1"/>
      <c r="BW83" s="1"/>
      <c r="BX83" s="1"/>
    </row>
    <row r="84">
      <c r="A84" s="1"/>
      <c r="B84" s="148" t="str">
        <f t="array" ref="B84">IFERROR(INDEX('DB(読み込みシート※編集厳禁)'!$A$3:$AH$501,MATCH($C84,'DB(読み込みシート※編集厳禁)'!$B$3:$B$501,0),MATCH(B$14,'DB(読み込みシート※編集厳禁)'!$A$2:$AH$2,0)),"")</f>
        <v/>
      </c>
      <c r="C84" s="149">
        <v>68.0</v>
      </c>
      <c r="D84" s="169" t="str">
        <f t="array" ref="D84">IFERROR(INDEX('DB(読み込みシート※編集厳禁)'!$A$3:$AH$501,MATCH($C84,'DB(読み込みシート※編集厳禁)'!$B$3:$B$501,0),MATCH(D$14,'DB(読み込みシート※編集厳禁)'!$A$2:$AH$2,0)),"")</f>
        <v/>
      </c>
      <c r="E84" s="170" t="str">
        <f t="array" ref="E84">IFERROR(INDEX('DB(読み込みシート※編集厳禁)'!$A$3:$AH$501,MATCH($C84,'DB(読み込みシート※編集厳禁)'!$B$3:$B$501,0),MATCH(E$14,'DB(読み込みシート※編集厳禁)'!$A$2:$AH$2,0)),"")</f>
        <v/>
      </c>
      <c r="F84" s="171" t="str">
        <f t="array" ref="F84">IFERROR(INDEX('DB(読み込みシート※編集厳禁)'!$A$3:$AH$501,MATCH($C84,'DB(読み込みシート※編集厳禁)'!$B$3:$B$501,0),MATCH(F$14,'DB(読み込みシート※編集厳禁)'!$A$2:$AH$2,0)),"")</f>
        <v/>
      </c>
      <c r="G84" s="133" t="str">
        <f t="shared" si="8"/>
        <v/>
      </c>
      <c r="H84" s="152" t="str">
        <f t="shared" si="9"/>
        <v>:00:000</v>
      </c>
      <c r="I84" s="135"/>
      <c r="J84" s="166"/>
      <c r="K84" s="137" t="s">
        <v>15</v>
      </c>
      <c r="L84" s="138" t="str">
        <f t="shared" si="10"/>
        <v/>
      </c>
      <c r="M84" s="139" t="str">
        <f t="shared" si="11"/>
        <v/>
      </c>
      <c r="N84" s="140" t="str">
        <f t="shared" si="12"/>
        <v/>
      </c>
      <c r="O84" s="141" t="str">
        <f t="shared" si="13"/>
        <v/>
      </c>
      <c r="P84" s="162" t="str">
        <f t="shared" si="14"/>
        <v>:00:000</v>
      </c>
      <c r="Q84" s="148" t="str">
        <f t="array" ref="Q84">IFERROR(INDEX('DB(読み込みシート※編集厳禁)'!$A$3:$AH$501,MATCH($C84,'DB(読み込みシート※編集厳禁)'!$B$3:$B$501,0),MATCH(Q$14,'DB(読み込みシート※編集厳禁)'!$A$2:$AH$2,0)),"")</f>
        <v/>
      </c>
      <c r="R84" s="149">
        <v>68.0</v>
      </c>
      <c r="S84" s="169" t="str">
        <f t="array" ref="S84">IFERROR(INDEX('DB(読み込みシート※編集厳禁)'!$A$3:$AH$501,MATCH($C84,'DB(読み込みシート※編集厳禁)'!$B$3:$B$501,0),MATCH(S$14,'DB(読み込みシート※編集厳禁)'!$A$2:$AH$2,0)),"")</f>
        <v/>
      </c>
      <c r="T84" s="170" t="str">
        <f t="array" ref="T84">IFERROR(INDEX('DB(読み込みシート※編集厳禁)'!$A$3:$AH$501,MATCH($C84,'DB(読み込みシート※編集厳禁)'!$B$3:$B$501,0),MATCH(T$14,'DB(読み込みシート※編集厳禁)'!$A$2:$AH$2,0)),"")</f>
        <v/>
      </c>
      <c r="U84" s="135"/>
      <c r="V84" s="166"/>
      <c r="W84" s="137" t="s">
        <v>15</v>
      </c>
      <c r="X84" s="138" t="str">
        <f t="shared" si="15"/>
        <v/>
      </c>
      <c r="Y84" s="139" t="str">
        <f t="shared" si="16"/>
        <v/>
      </c>
      <c r="Z84" s="144" t="str">
        <f t="shared" si="17"/>
        <v/>
      </c>
      <c r="AA84" s="1"/>
      <c r="AB84" s="6"/>
      <c r="AC84" s="6"/>
      <c r="AD84" s="6"/>
      <c r="AE84" s="6"/>
      <c r="AF84" s="6"/>
      <c r="AG84" s="6" t="str">
        <f t="shared" si="18"/>
        <v/>
      </c>
      <c r="AH84" s="6" t="str">
        <f t="shared" si="19"/>
        <v/>
      </c>
      <c r="AI84" s="6" t="str">
        <f t="shared" si="20"/>
        <v>-</v>
      </c>
      <c r="AJ84" s="6"/>
      <c r="AK84" s="6" t="str">
        <f t="shared" si="21"/>
        <v/>
      </c>
      <c r="AL84" s="6"/>
      <c r="AM84" s="6"/>
      <c r="AN84" s="6"/>
      <c r="AO84" s="6"/>
      <c r="AP84" s="6"/>
      <c r="AQ84" s="7"/>
      <c r="AR84" s="69"/>
      <c r="AS84" s="69"/>
      <c r="AT84" s="39">
        <v>68.0</v>
      </c>
      <c r="AU84" s="69" t="str">
        <f t="array" ref="AU84">IFERROR(INDEX('DB(読み込みシート※編集厳禁)'!$A$3:$AH$501,MATCH($C84,'DB(読み込みシート※編集厳禁)'!$B$3:$B$501,0),MATCH(AU$16,'DB(読み込みシート※編集厳禁)'!$A$2:$AH$2,0)),"")</f>
        <v/>
      </c>
      <c r="AV84" s="69" t="str">
        <f t="array" ref="AV84">IFERROR(INDEX('DB(読み込みシート※編集厳禁)'!$A$3:$AH$501,MATCH($C84,'DB(読み込みシート※編集厳禁)'!$B$3:$B$501,0),MATCH(AV$16,'DB(読み込みシート※編集厳禁)'!$A$2:$AH$2,0)),"")</f>
        <v/>
      </c>
      <c r="AW84" s="69" t="str">
        <f t="shared" si="22"/>
        <v/>
      </c>
      <c r="AX84" s="69" t="str">
        <f t="shared" si="23"/>
        <v/>
      </c>
      <c r="AY84" s="69" t="str">
        <f t="shared" si="24"/>
        <v/>
      </c>
      <c r="AZ84" s="69" t="str">
        <f t="shared" si="25"/>
        <v/>
      </c>
      <c r="BA84" s="69" t="str">
        <f t="shared" si="26"/>
        <v/>
      </c>
      <c r="BB84" s="69" t="str">
        <f t="shared" si="27"/>
        <v/>
      </c>
      <c r="BC84" s="69" t="str">
        <f t="shared" si="28"/>
        <v/>
      </c>
      <c r="BD84" s="70" t="str">
        <f t="shared" si="29"/>
        <v/>
      </c>
      <c r="BE84" s="70" t="str">
        <f t="shared" si="30"/>
        <v/>
      </c>
      <c r="BF84" s="1" t="str">
        <f t="shared" si="31"/>
        <v/>
      </c>
      <c r="BG84" s="1" t="str">
        <f t="shared" si="32"/>
        <v/>
      </c>
      <c r="BH84" s="1" t="str">
        <f t="shared" si="33"/>
        <v/>
      </c>
      <c r="BI84" s="1" t="str">
        <f t="shared" si="34"/>
        <v/>
      </c>
      <c r="BJ84" s="1" t="str">
        <f t="shared" si="35"/>
        <v/>
      </c>
      <c r="BK84" s="1" t="str">
        <f t="shared" si="36"/>
        <v/>
      </c>
      <c r="BL84" s="1" t="str">
        <f t="shared" si="37"/>
        <v/>
      </c>
      <c r="BM84" s="1" t="str">
        <f t="shared" si="38"/>
        <v/>
      </c>
      <c r="BN84" s="1" t="str">
        <f t="shared" si="39"/>
        <v/>
      </c>
      <c r="BO84" s="1" t="str">
        <f t="shared" si="40"/>
        <v/>
      </c>
      <c r="BP84" s="1" t="str">
        <f t="shared" si="41"/>
        <v/>
      </c>
      <c r="BQ84" s="1" t="str">
        <f t="shared" si="42"/>
        <v/>
      </c>
      <c r="BR84" s="1" t="str">
        <f t="shared" si="43"/>
        <v/>
      </c>
      <c r="BS84" s="1" t="str">
        <f t="shared" si="44"/>
        <v/>
      </c>
      <c r="BT84" s="1"/>
      <c r="BU84" s="1"/>
      <c r="BV84" s="1"/>
      <c r="BW84" s="1"/>
      <c r="BX84" s="1"/>
    </row>
    <row r="85">
      <c r="A85" s="1"/>
      <c r="B85" s="148" t="str">
        <f t="array" ref="B85">IFERROR(INDEX('DB(読み込みシート※編集厳禁)'!$A$3:$AH$501,MATCH($C85,'DB(読み込みシート※編集厳禁)'!$B$3:$B$501,0),MATCH(B$14,'DB(読み込みシート※編集厳禁)'!$A$2:$AH$2,0)),"")</f>
        <v/>
      </c>
      <c r="C85" s="149">
        <v>69.0</v>
      </c>
      <c r="D85" s="169" t="str">
        <f t="array" ref="D85">IFERROR(INDEX('DB(読み込みシート※編集厳禁)'!$A$3:$AH$501,MATCH($C85,'DB(読み込みシート※編集厳禁)'!$B$3:$B$501,0),MATCH(D$14,'DB(読み込みシート※編集厳禁)'!$A$2:$AH$2,0)),"")</f>
        <v/>
      </c>
      <c r="E85" s="170" t="str">
        <f t="array" ref="E85">IFERROR(INDEX('DB(読み込みシート※編集厳禁)'!$A$3:$AH$501,MATCH($C85,'DB(読み込みシート※編集厳禁)'!$B$3:$B$501,0),MATCH(E$14,'DB(読み込みシート※編集厳禁)'!$A$2:$AH$2,0)),"")</f>
        <v/>
      </c>
      <c r="F85" s="171" t="str">
        <f t="array" ref="F85">IFERROR(INDEX('DB(読み込みシート※編集厳禁)'!$A$3:$AH$501,MATCH($C85,'DB(読み込みシート※編集厳禁)'!$B$3:$B$501,0),MATCH(F$14,'DB(読み込みシート※編集厳禁)'!$A$2:$AH$2,0)),"")</f>
        <v/>
      </c>
      <c r="G85" s="133" t="str">
        <f t="shared" si="8"/>
        <v/>
      </c>
      <c r="H85" s="152" t="str">
        <f t="shared" si="9"/>
        <v>:00:000</v>
      </c>
      <c r="I85" s="135"/>
      <c r="J85" s="166"/>
      <c r="K85" s="137" t="s">
        <v>15</v>
      </c>
      <c r="L85" s="138" t="str">
        <f t="shared" si="10"/>
        <v/>
      </c>
      <c r="M85" s="139" t="str">
        <f t="shared" si="11"/>
        <v/>
      </c>
      <c r="N85" s="140" t="str">
        <f t="shared" si="12"/>
        <v/>
      </c>
      <c r="O85" s="141" t="str">
        <f t="shared" si="13"/>
        <v/>
      </c>
      <c r="P85" s="162" t="str">
        <f t="shared" si="14"/>
        <v>:00:000</v>
      </c>
      <c r="Q85" s="148" t="str">
        <f t="array" ref="Q85">IFERROR(INDEX('DB(読み込みシート※編集厳禁)'!$A$3:$AH$501,MATCH($C85,'DB(読み込みシート※編集厳禁)'!$B$3:$B$501,0),MATCH(Q$14,'DB(読み込みシート※編集厳禁)'!$A$2:$AH$2,0)),"")</f>
        <v/>
      </c>
      <c r="R85" s="149">
        <v>69.0</v>
      </c>
      <c r="S85" s="169" t="str">
        <f t="array" ref="S85">IFERROR(INDEX('DB(読み込みシート※編集厳禁)'!$A$3:$AH$501,MATCH($C85,'DB(読み込みシート※編集厳禁)'!$B$3:$B$501,0),MATCH(S$14,'DB(読み込みシート※編集厳禁)'!$A$2:$AH$2,0)),"")</f>
        <v/>
      </c>
      <c r="T85" s="170" t="str">
        <f t="array" ref="T85">IFERROR(INDEX('DB(読み込みシート※編集厳禁)'!$A$3:$AH$501,MATCH($C85,'DB(読み込みシート※編集厳禁)'!$B$3:$B$501,0),MATCH(T$14,'DB(読み込みシート※編集厳禁)'!$A$2:$AH$2,0)),"")</f>
        <v/>
      </c>
      <c r="U85" s="135"/>
      <c r="V85" s="166"/>
      <c r="W85" s="137" t="s">
        <v>15</v>
      </c>
      <c r="X85" s="138" t="str">
        <f t="shared" si="15"/>
        <v/>
      </c>
      <c r="Y85" s="139" t="str">
        <f t="shared" si="16"/>
        <v/>
      </c>
      <c r="Z85" s="144" t="str">
        <f t="shared" si="17"/>
        <v/>
      </c>
      <c r="AA85" s="1"/>
      <c r="AB85" s="6"/>
      <c r="AC85" s="6"/>
      <c r="AD85" s="6"/>
      <c r="AE85" s="6"/>
      <c r="AF85" s="6"/>
      <c r="AG85" s="6" t="str">
        <f t="shared" si="18"/>
        <v/>
      </c>
      <c r="AH85" s="6" t="str">
        <f t="shared" si="19"/>
        <v/>
      </c>
      <c r="AI85" s="6" t="str">
        <f t="shared" si="20"/>
        <v>-</v>
      </c>
      <c r="AJ85" s="6"/>
      <c r="AK85" s="6" t="str">
        <f t="shared" si="21"/>
        <v/>
      </c>
      <c r="AL85" s="6"/>
      <c r="AM85" s="6"/>
      <c r="AN85" s="6"/>
      <c r="AO85" s="6"/>
      <c r="AP85" s="6"/>
      <c r="AQ85" s="7"/>
      <c r="AR85" s="69"/>
      <c r="AS85" s="69"/>
      <c r="AT85" s="39">
        <v>69.0</v>
      </c>
      <c r="AU85" s="69" t="str">
        <f t="array" ref="AU85">IFERROR(INDEX('DB(読み込みシート※編集厳禁)'!$A$3:$AH$501,MATCH($C85,'DB(読み込みシート※編集厳禁)'!$B$3:$B$501,0),MATCH(AU$16,'DB(読み込みシート※編集厳禁)'!$A$2:$AH$2,0)),"")</f>
        <v/>
      </c>
      <c r="AV85" s="69" t="str">
        <f t="array" ref="AV85">IFERROR(INDEX('DB(読み込みシート※編集厳禁)'!$A$3:$AH$501,MATCH($C85,'DB(読み込みシート※編集厳禁)'!$B$3:$B$501,0),MATCH(AV$16,'DB(読み込みシート※編集厳禁)'!$A$2:$AH$2,0)),"")</f>
        <v/>
      </c>
      <c r="AW85" s="69" t="str">
        <f t="shared" si="22"/>
        <v/>
      </c>
      <c r="AX85" s="69" t="str">
        <f t="shared" si="23"/>
        <v/>
      </c>
      <c r="AY85" s="69" t="str">
        <f t="shared" si="24"/>
        <v/>
      </c>
      <c r="AZ85" s="69" t="str">
        <f t="shared" si="25"/>
        <v/>
      </c>
      <c r="BA85" s="69" t="str">
        <f t="shared" si="26"/>
        <v/>
      </c>
      <c r="BB85" s="69" t="str">
        <f t="shared" si="27"/>
        <v/>
      </c>
      <c r="BC85" s="69" t="str">
        <f t="shared" si="28"/>
        <v/>
      </c>
      <c r="BD85" s="70" t="str">
        <f t="shared" si="29"/>
        <v/>
      </c>
      <c r="BE85" s="70" t="str">
        <f t="shared" si="30"/>
        <v/>
      </c>
      <c r="BF85" s="1" t="str">
        <f t="shared" si="31"/>
        <v/>
      </c>
      <c r="BG85" s="1" t="str">
        <f t="shared" si="32"/>
        <v/>
      </c>
      <c r="BH85" s="1" t="str">
        <f t="shared" si="33"/>
        <v/>
      </c>
      <c r="BI85" s="1" t="str">
        <f t="shared" si="34"/>
        <v/>
      </c>
      <c r="BJ85" s="1" t="str">
        <f t="shared" si="35"/>
        <v/>
      </c>
      <c r="BK85" s="1" t="str">
        <f t="shared" si="36"/>
        <v/>
      </c>
      <c r="BL85" s="1" t="str">
        <f t="shared" si="37"/>
        <v/>
      </c>
      <c r="BM85" s="1" t="str">
        <f t="shared" si="38"/>
        <v/>
      </c>
      <c r="BN85" s="1" t="str">
        <f t="shared" si="39"/>
        <v/>
      </c>
      <c r="BO85" s="1" t="str">
        <f t="shared" si="40"/>
        <v/>
      </c>
      <c r="BP85" s="1" t="str">
        <f t="shared" si="41"/>
        <v/>
      </c>
      <c r="BQ85" s="1" t="str">
        <f t="shared" si="42"/>
        <v/>
      </c>
      <c r="BR85" s="1" t="str">
        <f t="shared" si="43"/>
        <v/>
      </c>
      <c r="BS85" s="1" t="str">
        <f t="shared" si="44"/>
        <v/>
      </c>
      <c r="BT85" s="1"/>
      <c r="BU85" s="1"/>
      <c r="BV85" s="1"/>
      <c r="BW85" s="1"/>
      <c r="BX85" s="1"/>
    </row>
    <row r="86">
      <c r="A86" s="1"/>
      <c r="B86" s="148" t="str">
        <f t="array" ref="B86">IFERROR(INDEX('DB(読み込みシート※編集厳禁)'!$A$3:$AH$501,MATCH($C86,'DB(読み込みシート※編集厳禁)'!$B$3:$B$501,0),MATCH(B$14,'DB(読み込みシート※編集厳禁)'!$A$2:$AH$2,0)),"")</f>
        <v/>
      </c>
      <c r="C86" s="149">
        <v>70.0</v>
      </c>
      <c r="D86" s="169" t="str">
        <f t="array" ref="D86">IFERROR(INDEX('DB(読み込みシート※編集厳禁)'!$A$3:$AH$501,MATCH($C86,'DB(読み込みシート※編集厳禁)'!$B$3:$B$501,0),MATCH(D$14,'DB(読み込みシート※編集厳禁)'!$A$2:$AH$2,0)),"")</f>
        <v/>
      </c>
      <c r="E86" s="170" t="str">
        <f t="array" ref="E86">IFERROR(INDEX('DB(読み込みシート※編集厳禁)'!$A$3:$AH$501,MATCH($C86,'DB(読み込みシート※編集厳禁)'!$B$3:$B$501,0),MATCH(E$14,'DB(読み込みシート※編集厳禁)'!$A$2:$AH$2,0)),"")</f>
        <v/>
      </c>
      <c r="F86" s="171" t="str">
        <f t="array" ref="F86">IFERROR(INDEX('DB(読み込みシート※編集厳禁)'!$A$3:$AH$501,MATCH($C86,'DB(読み込みシート※編集厳禁)'!$B$3:$B$501,0),MATCH(F$14,'DB(読み込みシート※編集厳禁)'!$A$2:$AH$2,0)),"")</f>
        <v/>
      </c>
      <c r="G86" s="133" t="str">
        <f t="shared" si="8"/>
        <v/>
      </c>
      <c r="H86" s="152" t="str">
        <f t="shared" si="9"/>
        <v>:00:000</v>
      </c>
      <c r="I86" s="135"/>
      <c r="J86" s="166"/>
      <c r="K86" s="137" t="s">
        <v>15</v>
      </c>
      <c r="L86" s="138" t="str">
        <f t="shared" si="10"/>
        <v/>
      </c>
      <c r="M86" s="139" t="str">
        <f t="shared" si="11"/>
        <v/>
      </c>
      <c r="N86" s="140" t="str">
        <f t="shared" si="12"/>
        <v/>
      </c>
      <c r="O86" s="141" t="str">
        <f t="shared" si="13"/>
        <v/>
      </c>
      <c r="P86" s="162" t="str">
        <f t="shared" si="14"/>
        <v>:00:000</v>
      </c>
      <c r="Q86" s="148" t="str">
        <f t="array" ref="Q86">IFERROR(INDEX('DB(読み込みシート※編集厳禁)'!$A$3:$AH$501,MATCH($C86,'DB(読み込みシート※編集厳禁)'!$B$3:$B$501,0),MATCH(Q$14,'DB(読み込みシート※編集厳禁)'!$A$2:$AH$2,0)),"")</f>
        <v/>
      </c>
      <c r="R86" s="149">
        <v>70.0</v>
      </c>
      <c r="S86" s="169" t="str">
        <f t="array" ref="S86">IFERROR(INDEX('DB(読み込みシート※編集厳禁)'!$A$3:$AH$501,MATCH($C86,'DB(読み込みシート※編集厳禁)'!$B$3:$B$501,0),MATCH(S$14,'DB(読み込みシート※編集厳禁)'!$A$2:$AH$2,0)),"")</f>
        <v/>
      </c>
      <c r="T86" s="170" t="str">
        <f t="array" ref="T86">IFERROR(INDEX('DB(読み込みシート※編集厳禁)'!$A$3:$AH$501,MATCH($C86,'DB(読み込みシート※編集厳禁)'!$B$3:$B$501,0),MATCH(T$14,'DB(読み込みシート※編集厳禁)'!$A$2:$AH$2,0)),"")</f>
        <v/>
      </c>
      <c r="U86" s="135"/>
      <c r="V86" s="166"/>
      <c r="W86" s="137" t="s">
        <v>15</v>
      </c>
      <c r="X86" s="138" t="str">
        <f t="shared" si="15"/>
        <v/>
      </c>
      <c r="Y86" s="139" t="str">
        <f t="shared" si="16"/>
        <v/>
      </c>
      <c r="Z86" s="144" t="str">
        <f t="shared" si="17"/>
        <v/>
      </c>
      <c r="AA86" s="1"/>
      <c r="AB86" s="6"/>
      <c r="AC86" s="6"/>
      <c r="AD86" s="6"/>
      <c r="AE86" s="6"/>
      <c r="AF86" s="6"/>
      <c r="AG86" s="6" t="str">
        <f t="shared" si="18"/>
        <v/>
      </c>
      <c r="AH86" s="6" t="str">
        <f t="shared" si="19"/>
        <v/>
      </c>
      <c r="AI86" s="6" t="str">
        <f t="shared" si="20"/>
        <v>-</v>
      </c>
      <c r="AJ86" s="6"/>
      <c r="AK86" s="6" t="str">
        <f t="shared" si="21"/>
        <v/>
      </c>
      <c r="AL86" s="6"/>
      <c r="AM86" s="6"/>
      <c r="AN86" s="6"/>
      <c r="AO86" s="6"/>
      <c r="AP86" s="6"/>
      <c r="AQ86" s="7"/>
      <c r="AR86" s="69"/>
      <c r="AS86" s="69"/>
      <c r="AT86" s="39">
        <v>70.0</v>
      </c>
      <c r="AU86" s="69" t="str">
        <f t="array" ref="AU86">IFERROR(INDEX('DB(読み込みシート※編集厳禁)'!$A$3:$AH$501,MATCH($C86,'DB(読み込みシート※編集厳禁)'!$B$3:$B$501,0),MATCH(AU$16,'DB(読み込みシート※編集厳禁)'!$A$2:$AH$2,0)),"")</f>
        <v/>
      </c>
      <c r="AV86" s="69" t="str">
        <f t="array" ref="AV86">IFERROR(INDEX('DB(読み込みシート※編集厳禁)'!$A$3:$AH$501,MATCH($C86,'DB(読み込みシート※編集厳禁)'!$B$3:$B$501,0),MATCH(AV$16,'DB(読み込みシート※編集厳禁)'!$A$2:$AH$2,0)),"")</f>
        <v/>
      </c>
      <c r="AW86" s="69" t="str">
        <f t="shared" si="22"/>
        <v/>
      </c>
      <c r="AX86" s="69" t="str">
        <f t="shared" si="23"/>
        <v/>
      </c>
      <c r="AY86" s="69" t="str">
        <f t="shared" si="24"/>
        <v/>
      </c>
      <c r="AZ86" s="69" t="str">
        <f t="shared" si="25"/>
        <v/>
      </c>
      <c r="BA86" s="69" t="str">
        <f t="shared" si="26"/>
        <v/>
      </c>
      <c r="BB86" s="69" t="str">
        <f t="shared" si="27"/>
        <v/>
      </c>
      <c r="BC86" s="69" t="str">
        <f t="shared" si="28"/>
        <v/>
      </c>
      <c r="BD86" s="70" t="str">
        <f t="shared" si="29"/>
        <v/>
      </c>
      <c r="BE86" s="70" t="str">
        <f t="shared" si="30"/>
        <v/>
      </c>
      <c r="BF86" s="1" t="str">
        <f t="shared" si="31"/>
        <v/>
      </c>
      <c r="BG86" s="1" t="str">
        <f t="shared" si="32"/>
        <v/>
      </c>
      <c r="BH86" s="1" t="str">
        <f t="shared" si="33"/>
        <v/>
      </c>
      <c r="BI86" s="1" t="str">
        <f t="shared" si="34"/>
        <v/>
      </c>
      <c r="BJ86" s="1" t="str">
        <f t="shared" si="35"/>
        <v/>
      </c>
      <c r="BK86" s="1" t="str">
        <f t="shared" si="36"/>
        <v/>
      </c>
      <c r="BL86" s="1" t="str">
        <f t="shared" si="37"/>
        <v/>
      </c>
      <c r="BM86" s="1" t="str">
        <f t="shared" si="38"/>
        <v/>
      </c>
      <c r="BN86" s="1" t="str">
        <f t="shared" si="39"/>
        <v/>
      </c>
      <c r="BO86" s="1" t="str">
        <f t="shared" si="40"/>
        <v/>
      </c>
      <c r="BP86" s="1" t="str">
        <f t="shared" si="41"/>
        <v/>
      </c>
      <c r="BQ86" s="1" t="str">
        <f t="shared" si="42"/>
        <v/>
      </c>
      <c r="BR86" s="1" t="str">
        <f t="shared" si="43"/>
        <v/>
      </c>
      <c r="BS86" s="1" t="str">
        <f t="shared" si="44"/>
        <v/>
      </c>
      <c r="BT86" s="1"/>
      <c r="BU86" s="1"/>
      <c r="BV86" s="1"/>
      <c r="BW86" s="1"/>
      <c r="BX86" s="1"/>
    </row>
    <row r="87">
      <c r="A87" s="1"/>
      <c r="B87" s="148" t="str">
        <f t="array" ref="B87">IFERROR(INDEX('DB(読み込みシート※編集厳禁)'!$A$3:$AH$501,MATCH($C87,'DB(読み込みシート※編集厳禁)'!$B$3:$B$501,0),MATCH(B$14,'DB(読み込みシート※編集厳禁)'!$A$2:$AH$2,0)),"")</f>
        <v/>
      </c>
      <c r="C87" s="149">
        <v>71.0</v>
      </c>
      <c r="D87" s="169" t="str">
        <f t="array" ref="D87">IFERROR(INDEX('DB(読み込みシート※編集厳禁)'!$A$3:$AH$501,MATCH($C87,'DB(読み込みシート※編集厳禁)'!$B$3:$B$501,0),MATCH(D$14,'DB(読み込みシート※編集厳禁)'!$A$2:$AH$2,0)),"")</f>
        <v/>
      </c>
      <c r="E87" s="170" t="str">
        <f t="array" ref="E87">IFERROR(INDEX('DB(読み込みシート※編集厳禁)'!$A$3:$AH$501,MATCH($C87,'DB(読み込みシート※編集厳禁)'!$B$3:$B$501,0),MATCH(E$14,'DB(読み込みシート※編集厳禁)'!$A$2:$AH$2,0)),"")</f>
        <v/>
      </c>
      <c r="F87" s="171" t="str">
        <f t="array" ref="F87">IFERROR(INDEX('DB(読み込みシート※編集厳禁)'!$A$3:$AH$501,MATCH($C87,'DB(読み込みシート※編集厳禁)'!$B$3:$B$501,0),MATCH(F$14,'DB(読み込みシート※編集厳禁)'!$A$2:$AH$2,0)),"")</f>
        <v/>
      </c>
      <c r="G87" s="133" t="str">
        <f t="shared" si="8"/>
        <v/>
      </c>
      <c r="H87" s="152" t="str">
        <f t="shared" si="9"/>
        <v>:00:000</v>
      </c>
      <c r="I87" s="135"/>
      <c r="J87" s="166"/>
      <c r="K87" s="137" t="s">
        <v>15</v>
      </c>
      <c r="L87" s="138" t="str">
        <f t="shared" si="10"/>
        <v/>
      </c>
      <c r="M87" s="139" t="str">
        <f t="shared" si="11"/>
        <v/>
      </c>
      <c r="N87" s="140" t="str">
        <f t="shared" si="12"/>
        <v/>
      </c>
      <c r="O87" s="141" t="str">
        <f t="shared" si="13"/>
        <v/>
      </c>
      <c r="P87" s="162" t="str">
        <f t="shared" si="14"/>
        <v>:00:000</v>
      </c>
      <c r="Q87" s="148" t="str">
        <f t="array" ref="Q87">IFERROR(INDEX('DB(読み込みシート※編集厳禁)'!$A$3:$AH$501,MATCH($C87,'DB(読み込みシート※編集厳禁)'!$B$3:$B$501,0),MATCH(Q$14,'DB(読み込みシート※編集厳禁)'!$A$2:$AH$2,0)),"")</f>
        <v/>
      </c>
      <c r="R87" s="149">
        <v>71.0</v>
      </c>
      <c r="S87" s="169" t="str">
        <f t="array" ref="S87">IFERROR(INDEX('DB(読み込みシート※編集厳禁)'!$A$3:$AH$501,MATCH($C87,'DB(読み込みシート※編集厳禁)'!$B$3:$B$501,0),MATCH(S$14,'DB(読み込みシート※編集厳禁)'!$A$2:$AH$2,0)),"")</f>
        <v/>
      </c>
      <c r="T87" s="170" t="str">
        <f t="array" ref="T87">IFERROR(INDEX('DB(読み込みシート※編集厳禁)'!$A$3:$AH$501,MATCH($C87,'DB(読み込みシート※編集厳禁)'!$B$3:$B$501,0),MATCH(T$14,'DB(読み込みシート※編集厳禁)'!$A$2:$AH$2,0)),"")</f>
        <v/>
      </c>
      <c r="U87" s="135"/>
      <c r="V87" s="166"/>
      <c r="W87" s="137" t="s">
        <v>15</v>
      </c>
      <c r="X87" s="138" t="str">
        <f t="shared" si="15"/>
        <v/>
      </c>
      <c r="Y87" s="139" t="str">
        <f t="shared" si="16"/>
        <v/>
      </c>
      <c r="Z87" s="144" t="str">
        <f t="shared" si="17"/>
        <v/>
      </c>
      <c r="AA87" s="1"/>
      <c r="AB87" s="6"/>
      <c r="AC87" s="6"/>
      <c r="AD87" s="6"/>
      <c r="AE87" s="6"/>
      <c r="AF87" s="6"/>
      <c r="AG87" s="6" t="str">
        <f t="shared" si="18"/>
        <v/>
      </c>
      <c r="AH87" s="6" t="str">
        <f t="shared" si="19"/>
        <v/>
      </c>
      <c r="AI87" s="6" t="str">
        <f t="shared" si="20"/>
        <v>-</v>
      </c>
      <c r="AJ87" s="6"/>
      <c r="AK87" s="6" t="str">
        <f t="shared" si="21"/>
        <v/>
      </c>
      <c r="AL87" s="6"/>
      <c r="AM87" s="6"/>
      <c r="AN87" s="6"/>
      <c r="AO87" s="6"/>
      <c r="AP87" s="6"/>
      <c r="AQ87" s="7"/>
      <c r="AR87" s="69"/>
      <c r="AS87" s="69"/>
      <c r="AT87" s="39">
        <v>71.0</v>
      </c>
      <c r="AU87" s="69" t="str">
        <f t="array" ref="AU87">IFERROR(INDEX('DB(読み込みシート※編集厳禁)'!$A$3:$AH$501,MATCH($C87,'DB(読み込みシート※編集厳禁)'!$B$3:$B$501,0),MATCH(AU$16,'DB(読み込みシート※編集厳禁)'!$A$2:$AH$2,0)),"")</f>
        <v/>
      </c>
      <c r="AV87" s="69" t="str">
        <f t="array" ref="AV87">IFERROR(INDEX('DB(読み込みシート※編集厳禁)'!$A$3:$AH$501,MATCH($C87,'DB(読み込みシート※編集厳禁)'!$B$3:$B$501,0),MATCH(AV$16,'DB(読み込みシート※編集厳禁)'!$A$2:$AH$2,0)),"")</f>
        <v/>
      </c>
      <c r="AW87" s="69" t="str">
        <f t="shared" si="22"/>
        <v/>
      </c>
      <c r="AX87" s="69" t="str">
        <f t="shared" si="23"/>
        <v/>
      </c>
      <c r="AY87" s="69" t="str">
        <f t="shared" si="24"/>
        <v/>
      </c>
      <c r="AZ87" s="69" t="str">
        <f t="shared" si="25"/>
        <v/>
      </c>
      <c r="BA87" s="69" t="str">
        <f t="shared" si="26"/>
        <v/>
      </c>
      <c r="BB87" s="69" t="str">
        <f t="shared" si="27"/>
        <v/>
      </c>
      <c r="BC87" s="69" t="str">
        <f t="shared" si="28"/>
        <v/>
      </c>
      <c r="BD87" s="70" t="str">
        <f t="shared" si="29"/>
        <v/>
      </c>
      <c r="BE87" s="70" t="str">
        <f t="shared" si="30"/>
        <v/>
      </c>
      <c r="BF87" s="1" t="str">
        <f t="shared" si="31"/>
        <v/>
      </c>
      <c r="BG87" s="1" t="str">
        <f t="shared" si="32"/>
        <v/>
      </c>
      <c r="BH87" s="1" t="str">
        <f t="shared" si="33"/>
        <v/>
      </c>
      <c r="BI87" s="1" t="str">
        <f t="shared" si="34"/>
        <v/>
      </c>
      <c r="BJ87" s="1" t="str">
        <f t="shared" si="35"/>
        <v/>
      </c>
      <c r="BK87" s="1" t="str">
        <f t="shared" si="36"/>
        <v/>
      </c>
      <c r="BL87" s="1" t="str">
        <f t="shared" si="37"/>
        <v/>
      </c>
      <c r="BM87" s="1" t="str">
        <f t="shared" si="38"/>
        <v/>
      </c>
      <c r="BN87" s="1" t="str">
        <f t="shared" si="39"/>
        <v/>
      </c>
      <c r="BO87" s="1" t="str">
        <f t="shared" si="40"/>
        <v/>
      </c>
      <c r="BP87" s="1" t="str">
        <f t="shared" si="41"/>
        <v/>
      </c>
      <c r="BQ87" s="1" t="str">
        <f t="shared" si="42"/>
        <v/>
      </c>
      <c r="BR87" s="1" t="str">
        <f t="shared" si="43"/>
        <v/>
      </c>
      <c r="BS87" s="1" t="str">
        <f t="shared" si="44"/>
        <v/>
      </c>
      <c r="BT87" s="1"/>
      <c r="BU87" s="1"/>
      <c r="BV87" s="1"/>
      <c r="BW87" s="1"/>
      <c r="BX87" s="1"/>
    </row>
    <row r="88">
      <c r="A88" s="1"/>
      <c r="B88" s="148" t="str">
        <f t="array" ref="B88">IFERROR(INDEX('DB(読み込みシート※編集厳禁)'!$A$3:$AH$501,MATCH($C88,'DB(読み込みシート※編集厳禁)'!$B$3:$B$501,0),MATCH(B$14,'DB(読み込みシート※編集厳禁)'!$A$2:$AH$2,0)),"")</f>
        <v/>
      </c>
      <c r="C88" s="149">
        <v>72.0</v>
      </c>
      <c r="D88" s="169" t="str">
        <f t="array" ref="D88">IFERROR(INDEX('DB(読み込みシート※編集厳禁)'!$A$3:$AH$501,MATCH($C88,'DB(読み込みシート※編集厳禁)'!$B$3:$B$501,0),MATCH(D$14,'DB(読み込みシート※編集厳禁)'!$A$2:$AH$2,0)),"")</f>
        <v/>
      </c>
      <c r="E88" s="170" t="str">
        <f t="array" ref="E88">IFERROR(INDEX('DB(読み込みシート※編集厳禁)'!$A$3:$AH$501,MATCH($C88,'DB(読み込みシート※編集厳禁)'!$B$3:$B$501,0),MATCH(E$14,'DB(読み込みシート※編集厳禁)'!$A$2:$AH$2,0)),"")</f>
        <v/>
      </c>
      <c r="F88" s="171" t="str">
        <f t="array" ref="F88">IFERROR(INDEX('DB(読み込みシート※編集厳禁)'!$A$3:$AH$501,MATCH($C88,'DB(読み込みシート※編集厳禁)'!$B$3:$B$501,0),MATCH(F$14,'DB(読み込みシート※編集厳禁)'!$A$2:$AH$2,0)),"")</f>
        <v/>
      </c>
      <c r="G88" s="133" t="str">
        <f t="shared" si="8"/>
        <v/>
      </c>
      <c r="H88" s="152" t="str">
        <f t="shared" si="9"/>
        <v>:00:000</v>
      </c>
      <c r="I88" s="135"/>
      <c r="J88" s="166"/>
      <c r="K88" s="137" t="s">
        <v>15</v>
      </c>
      <c r="L88" s="138" t="str">
        <f t="shared" si="10"/>
        <v/>
      </c>
      <c r="M88" s="139" t="str">
        <f t="shared" si="11"/>
        <v/>
      </c>
      <c r="N88" s="140" t="str">
        <f t="shared" si="12"/>
        <v/>
      </c>
      <c r="O88" s="141" t="str">
        <f t="shared" si="13"/>
        <v/>
      </c>
      <c r="P88" s="162" t="str">
        <f t="shared" si="14"/>
        <v>:00:000</v>
      </c>
      <c r="Q88" s="148" t="str">
        <f t="array" ref="Q88">IFERROR(INDEX('DB(読み込みシート※編集厳禁)'!$A$3:$AH$501,MATCH($C88,'DB(読み込みシート※編集厳禁)'!$B$3:$B$501,0),MATCH(Q$14,'DB(読み込みシート※編集厳禁)'!$A$2:$AH$2,0)),"")</f>
        <v/>
      </c>
      <c r="R88" s="149">
        <v>72.0</v>
      </c>
      <c r="S88" s="169" t="str">
        <f t="array" ref="S88">IFERROR(INDEX('DB(読み込みシート※編集厳禁)'!$A$3:$AH$501,MATCH($C88,'DB(読み込みシート※編集厳禁)'!$B$3:$B$501,0),MATCH(S$14,'DB(読み込みシート※編集厳禁)'!$A$2:$AH$2,0)),"")</f>
        <v/>
      </c>
      <c r="T88" s="170" t="str">
        <f t="array" ref="T88">IFERROR(INDEX('DB(読み込みシート※編集厳禁)'!$A$3:$AH$501,MATCH($C88,'DB(読み込みシート※編集厳禁)'!$B$3:$B$501,0),MATCH(T$14,'DB(読み込みシート※編集厳禁)'!$A$2:$AH$2,0)),"")</f>
        <v/>
      </c>
      <c r="U88" s="135"/>
      <c r="V88" s="166"/>
      <c r="W88" s="137" t="s">
        <v>15</v>
      </c>
      <c r="X88" s="138" t="str">
        <f t="shared" si="15"/>
        <v/>
      </c>
      <c r="Y88" s="139" t="str">
        <f t="shared" si="16"/>
        <v/>
      </c>
      <c r="Z88" s="144" t="str">
        <f t="shared" si="17"/>
        <v/>
      </c>
      <c r="AA88" s="1"/>
      <c r="AB88" s="6"/>
      <c r="AC88" s="6"/>
      <c r="AD88" s="6"/>
      <c r="AE88" s="6"/>
      <c r="AF88" s="6"/>
      <c r="AG88" s="6" t="str">
        <f t="shared" si="18"/>
        <v/>
      </c>
      <c r="AH88" s="6" t="str">
        <f t="shared" si="19"/>
        <v/>
      </c>
      <c r="AI88" s="6" t="str">
        <f t="shared" si="20"/>
        <v>-</v>
      </c>
      <c r="AJ88" s="6"/>
      <c r="AK88" s="6" t="str">
        <f t="shared" si="21"/>
        <v/>
      </c>
      <c r="AL88" s="6"/>
      <c r="AM88" s="6"/>
      <c r="AN88" s="6"/>
      <c r="AO88" s="6"/>
      <c r="AP88" s="6"/>
      <c r="AQ88" s="7"/>
      <c r="AR88" s="69"/>
      <c r="AS88" s="69"/>
      <c r="AT88" s="39">
        <v>72.0</v>
      </c>
      <c r="AU88" s="69" t="str">
        <f t="array" ref="AU88">IFERROR(INDEX('DB(読み込みシート※編集厳禁)'!$A$3:$AH$501,MATCH($C88,'DB(読み込みシート※編集厳禁)'!$B$3:$B$501,0),MATCH(AU$16,'DB(読み込みシート※編集厳禁)'!$A$2:$AH$2,0)),"")</f>
        <v/>
      </c>
      <c r="AV88" s="69" t="str">
        <f t="array" ref="AV88">IFERROR(INDEX('DB(読み込みシート※編集厳禁)'!$A$3:$AH$501,MATCH($C88,'DB(読み込みシート※編集厳禁)'!$B$3:$B$501,0),MATCH(AV$16,'DB(読み込みシート※編集厳禁)'!$A$2:$AH$2,0)),"")</f>
        <v/>
      </c>
      <c r="AW88" s="69" t="str">
        <f t="shared" si="22"/>
        <v/>
      </c>
      <c r="AX88" s="69" t="str">
        <f t="shared" si="23"/>
        <v/>
      </c>
      <c r="AY88" s="69" t="str">
        <f t="shared" si="24"/>
        <v/>
      </c>
      <c r="AZ88" s="69" t="str">
        <f t="shared" si="25"/>
        <v/>
      </c>
      <c r="BA88" s="69" t="str">
        <f t="shared" si="26"/>
        <v/>
      </c>
      <c r="BB88" s="69" t="str">
        <f t="shared" si="27"/>
        <v/>
      </c>
      <c r="BC88" s="69" t="str">
        <f t="shared" si="28"/>
        <v/>
      </c>
      <c r="BD88" s="70" t="str">
        <f t="shared" si="29"/>
        <v/>
      </c>
      <c r="BE88" s="70" t="str">
        <f t="shared" si="30"/>
        <v/>
      </c>
      <c r="BF88" s="1" t="str">
        <f t="shared" si="31"/>
        <v/>
      </c>
      <c r="BG88" s="1" t="str">
        <f t="shared" si="32"/>
        <v/>
      </c>
      <c r="BH88" s="1" t="str">
        <f t="shared" si="33"/>
        <v/>
      </c>
      <c r="BI88" s="1" t="str">
        <f t="shared" si="34"/>
        <v/>
      </c>
      <c r="BJ88" s="1" t="str">
        <f t="shared" si="35"/>
        <v/>
      </c>
      <c r="BK88" s="1" t="str">
        <f t="shared" si="36"/>
        <v/>
      </c>
      <c r="BL88" s="1" t="str">
        <f t="shared" si="37"/>
        <v/>
      </c>
      <c r="BM88" s="1" t="str">
        <f t="shared" si="38"/>
        <v/>
      </c>
      <c r="BN88" s="1" t="str">
        <f t="shared" si="39"/>
        <v/>
      </c>
      <c r="BO88" s="1" t="str">
        <f t="shared" si="40"/>
        <v/>
      </c>
      <c r="BP88" s="1" t="str">
        <f t="shared" si="41"/>
        <v/>
      </c>
      <c r="BQ88" s="1" t="str">
        <f t="shared" si="42"/>
        <v/>
      </c>
      <c r="BR88" s="1" t="str">
        <f t="shared" si="43"/>
        <v/>
      </c>
      <c r="BS88" s="1" t="str">
        <f t="shared" si="44"/>
        <v/>
      </c>
      <c r="BT88" s="1"/>
      <c r="BU88" s="1"/>
      <c r="BV88" s="1"/>
      <c r="BW88" s="1"/>
      <c r="BX88" s="1"/>
    </row>
    <row r="89">
      <c r="A89" s="1"/>
      <c r="B89" s="148" t="str">
        <f t="array" ref="B89">IFERROR(INDEX('DB(読み込みシート※編集厳禁)'!$A$3:$AH$501,MATCH($C89,'DB(読み込みシート※編集厳禁)'!$B$3:$B$501,0),MATCH(B$14,'DB(読み込みシート※編集厳禁)'!$A$2:$AH$2,0)),"")</f>
        <v/>
      </c>
      <c r="C89" s="149">
        <v>73.0</v>
      </c>
      <c r="D89" s="169" t="str">
        <f t="array" ref="D89">IFERROR(INDEX('DB(読み込みシート※編集厳禁)'!$A$3:$AH$501,MATCH($C89,'DB(読み込みシート※編集厳禁)'!$B$3:$B$501,0),MATCH(D$14,'DB(読み込みシート※編集厳禁)'!$A$2:$AH$2,0)),"")</f>
        <v/>
      </c>
      <c r="E89" s="170" t="str">
        <f t="array" ref="E89">IFERROR(INDEX('DB(読み込みシート※編集厳禁)'!$A$3:$AH$501,MATCH($C89,'DB(読み込みシート※編集厳禁)'!$B$3:$B$501,0),MATCH(E$14,'DB(読み込みシート※編集厳禁)'!$A$2:$AH$2,0)),"")</f>
        <v/>
      </c>
      <c r="F89" s="171" t="str">
        <f t="array" ref="F89">IFERROR(INDEX('DB(読み込みシート※編集厳禁)'!$A$3:$AH$501,MATCH($C89,'DB(読み込みシート※編集厳禁)'!$B$3:$B$501,0),MATCH(F$14,'DB(読み込みシート※編集厳禁)'!$A$2:$AH$2,0)),"")</f>
        <v/>
      </c>
      <c r="G89" s="133" t="str">
        <f t="shared" si="8"/>
        <v/>
      </c>
      <c r="H89" s="152" t="str">
        <f t="shared" si="9"/>
        <v>:00:000</v>
      </c>
      <c r="I89" s="135"/>
      <c r="J89" s="166"/>
      <c r="K89" s="137" t="s">
        <v>15</v>
      </c>
      <c r="L89" s="138" t="str">
        <f t="shared" si="10"/>
        <v/>
      </c>
      <c r="M89" s="139" t="str">
        <f t="shared" si="11"/>
        <v/>
      </c>
      <c r="N89" s="140" t="str">
        <f t="shared" si="12"/>
        <v/>
      </c>
      <c r="O89" s="141" t="str">
        <f t="shared" si="13"/>
        <v/>
      </c>
      <c r="P89" s="162" t="str">
        <f t="shared" si="14"/>
        <v>:00:000</v>
      </c>
      <c r="Q89" s="148" t="str">
        <f t="array" ref="Q89">IFERROR(INDEX('DB(読み込みシート※編集厳禁)'!$A$3:$AH$501,MATCH($C89,'DB(読み込みシート※編集厳禁)'!$B$3:$B$501,0),MATCH(Q$14,'DB(読み込みシート※編集厳禁)'!$A$2:$AH$2,0)),"")</f>
        <v/>
      </c>
      <c r="R89" s="149">
        <v>73.0</v>
      </c>
      <c r="S89" s="169" t="str">
        <f t="array" ref="S89">IFERROR(INDEX('DB(読み込みシート※編集厳禁)'!$A$3:$AH$501,MATCH($C89,'DB(読み込みシート※編集厳禁)'!$B$3:$B$501,0),MATCH(S$14,'DB(読み込みシート※編集厳禁)'!$A$2:$AH$2,0)),"")</f>
        <v/>
      </c>
      <c r="T89" s="170" t="str">
        <f t="array" ref="T89">IFERROR(INDEX('DB(読み込みシート※編集厳禁)'!$A$3:$AH$501,MATCH($C89,'DB(読み込みシート※編集厳禁)'!$B$3:$B$501,0),MATCH(T$14,'DB(読み込みシート※編集厳禁)'!$A$2:$AH$2,0)),"")</f>
        <v/>
      </c>
      <c r="U89" s="135"/>
      <c r="V89" s="166"/>
      <c r="W89" s="137" t="s">
        <v>15</v>
      </c>
      <c r="X89" s="138" t="str">
        <f t="shared" si="15"/>
        <v/>
      </c>
      <c r="Y89" s="139" t="str">
        <f t="shared" si="16"/>
        <v/>
      </c>
      <c r="Z89" s="144" t="str">
        <f t="shared" si="17"/>
        <v/>
      </c>
      <c r="AA89" s="1"/>
      <c r="AB89" s="6"/>
      <c r="AC89" s="6"/>
      <c r="AD89" s="6"/>
      <c r="AE89" s="6"/>
      <c r="AF89" s="6"/>
      <c r="AG89" s="6" t="str">
        <f t="shared" si="18"/>
        <v/>
      </c>
      <c r="AH89" s="6" t="str">
        <f t="shared" si="19"/>
        <v/>
      </c>
      <c r="AI89" s="6" t="str">
        <f t="shared" si="20"/>
        <v>-</v>
      </c>
      <c r="AJ89" s="6"/>
      <c r="AK89" s="6" t="str">
        <f t="shared" si="21"/>
        <v/>
      </c>
      <c r="AL89" s="6"/>
      <c r="AM89" s="6"/>
      <c r="AN89" s="6"/>
      <c r="AO89" s="6"/>
      <c r="AP89" s="6"/>
      <c r="AQ89" s="7"/>
      <c r="AR89" s="69"/>
      <c r="AS89" s="69"/>
      <c r="AT89" s="39">
        <v>73.0</v>
      </c>
      <c r="AU89" s="69" t="str">
        <f t="array" ref="AU89">IFERROR(INDEX('DB(読み込みシート※編集厳禁)'!$A$3:$AH$501,MATCH($C89,'DB(読み込みシート※編集厳禁)'!$B$3:$B$501,0),MATCH(AU$16,'DB(読み込みシート※編集厳禁)'!$A$2:$AH$2,0)),"")</f>
        <v/>
      </c>
      <c r="AV89" s="69" t="str">
        <f t="array" ref="AV89">IFERROR(INDEX('DB(読み込みシート※編集厳禁)'!$A$3:$AH$501,MATCH($C89,'DB(読み込みシート※編集厳禁)'!$B$3:$B$501,0),MATCH(AV$16,'DB(読み込みシート※編集厳禁)'!$A$2:$AH$2,0)),"")</f>
        <v/>
      </c>
      <c r="AW89" s="69" t="str">
        <f t="shared" si="22"/>
        <v/>
      </c>
      <c r="AX89" s="69" t="str">
        <f t="shared" si="23"/>
        <v/>
      </c>
      <c r="AY89" s="69" t="str">
        <f t="shared" si="24"/>
        <v/>
      </c>
      <c r="AZ89" s="69" t="str">
        <f t="shared" si="25"/>
        <v/>
      </c>
      <c r="BA89" s="69" t="str">
        <f t="shared" si="26"/>
        <v/>
      </c>
      <c r="BB89" s="69" t="str">
        <f t="shared" si="27"/>
        <v/>
      </c>
      <c r="BC89" s="69" t="str">
        <f t="shared" si="28"/>
        <v/>
      </c>
      <c r="BD89" s="70" t="str">
        <f t="shared" si="29"/>
        <v/>
      </c>
      <c r="BE89" s="70" t="str">
        <f t="shared" si="30"/>
        <v/>
      </c>
      <c r="BF89" s="1" t="str">
        <f t="shared" si="31"/>
        <v/>
      </c>
      <c r="BG89" s="1" t="str">
        <f t="shared" si="32"/>
        <v/>
      </c>
      <c r="BH89" s="1" t="str">
        <f t="shared" si="33"/>
        <v/>
      </c>
      <c r="BI89" s="1" t="str">
        <f t="shared" si="34"/>
        <v/>
      </c>
      <c r="BJ89" s="1" t="str">
        <f t="shared" si="35"/>
        <v/>
      </c>
      <c r="BK89" s="1" t="str">
        <f t="shared" si="36"/>
        <v/>
      </c>
      <c r="BL89" s="1" t="str">
        <f t="shared" si="37"/>
        <v/>
      </c>
      <c r="BM89" s="1" t="str">
        <f t="shared" si="38"/>
        <v/>
      </c>
      <c r="BN89" s="1" t="str">
        <f t="shared" si="39"/>
        <v/>
      </c>
      <c r="BO89" s="1" t="str">
        <f t="shared" si="40"/>
        <v/>
      </c>
      <c r="BP89" s="1" t="str">
        <f t="shared" si="41"/>
        <v/>
      </c>
      <c r="BQ89" s="1" t="str">
        <f t="shared" si="42"/>
        <v/>
      </c>
      <c r="BR89" s="1" t="str">
        <f t="shared" si="43"/>
        <v/>
      </c>
      <c r="BS89" s="1" t="str">
        <f t="shared" si="44"/>
        <v/>
      </c>
      <c r="BT89" s="1"/>
      <c r="BU89" s="1"/>
      <c r="BV89" s="1"/>
      <c r="BW89" s="1"/>
      <c r="BX89" s="1"/>
    </row>
    <row r="90">
      <c r="A90" s="1"/>
      <c r="B90" s="148" t="str">
        <f t="array" ref="B90">IFERROR(INDEX('DB(読み込みシート※編集厳禁)'!$A$3:$AH$501,MATCH($C90,'DB(読み込みシート※編集厳禁)'!$B$3:$B$501,0),MATCH(B$14,'DB(読み込みシート※編集厳禁)'!$A$2:$AH$2,0)),"")</f>
        <v/>
      </c>
      <c r="C90" s="149">
        <v>74.0</v>
      </c>
      <c r="D90" s="169" t="str">
        <f t="array" ref="D90">IFERROR(INDEX('DB(読み込みシート※編集厳禁)'!$A$3:$AH$501,MATCH($C90,'DB(読み込みシート※編集厳禁)'!$B$3:$B$501,0),MATCH(D$14,'DB(読み込みシート※編集厳禁)'!$A$2:$AH$2,0)),"")</f>
        <v/>
      </c>
      <c r="E90" s="170" t="str">
        <f t="array" ref="E90">IFERROR(INDEX('DB(読み込みシート※編集厳禁)'!$A$3:$AH$501,MATCH($C90,'DB(読み込みシート※編集厳禁)'!$B$3:$B$501,0),MATCH(E$14,'DB(読み込みシート※編集厳禁)'!$A$2:$AH$2,0)),"")</f>
        <v/>
      </c>
      <c r="F90" s="171" t="str">
        <f t="array" ref="F90">IFERROR(INDEX('DB(読み込みシート※編集厳禁)'!$A$3:$AH$501,MATCH($C90,'DB(読み込みシート※編集厳禁)'!$B$3:$B$501,0),MATCH(F$14,'DB(読み込みシート※編集厳禁)'!$A$2:$AH$2,0)),"")</f>
        <v/>
      </c>
      <c r="G90" s="133" t="str">
        <f t="shared" si="8"/>
        <v/>
      </c>
      <c r="H90" s="152" t="str">
        <f t="shared" si="9"/>
        <v>:00:000</v>
      </c>
      <c r="I90" s="135"/>
      <c r="J90" s="166"/>
      <c r="K90" s="137" t="s">
        <v>15</v>
      </c>
      <c r="L90" s="138" t="str">
        <f t="shared" si="10"/>
        <v/>
      </c>
      <c r="M90" s="139" t="str">
        <f t="shared" si="11"/>
        <v/>
      </c>
      <c r="N90" s="140" t="str">
        <f t="shared" si="12"/>
        <v/>
      </c>
      <c r="O90" s="141" t="str">
        <f t="shared" si="13"/>
        <v/>
      </c>
      <c r="P90" s="162" t="str">
        <f t="shared" si="14"/>
        <v>:00:000</v>
      </c>
      <c r="Q90" s="148" t="str">
        <f t="array" ref="Q90">IFERROR(INDEX('DB(読み込みシート※編集厳禁)'!$A$3:$AH$501,MATCH($C90,'DB(読み込みシート※編集厳禁)'!$B$3:$B$501,0),MATCH(Q$14,'DB(読み込みシート※編集厳禁)'!$A$2:$AH$2,0)),"")</f>
        <v/>
      </c>
      <c r="R90" s="149">
        <v>74.0</v>
      </c>
      <c r="S90" s="169" t="str">
        <f t="array" ref="S90">IFERROR(INDEX('DB(読み込みシート※編集厳禁)'!$A$3:$AH$501,MATCH($C90,'DB(読み込みシート※編集厳禁)'!$B$3:$B$501,0),MATCH(S$14,'DB(読み込みシート※編集厳禁)'!$A$2:$AH$2,0)),"")</f>
        <v/>
      </c>
      <c r="T90" s="170" t="str">
        <f t="array" ref="T90">IFERROR(INDEX('DB(読み込みシート※編集厳禁)'!$A$3:$AH$501,MATCH($C90,'DB(読み込みシート※編集厳禁)'!$B$3:$B$501,0),MATCH(T$14,'DB(読み込みシート※編集厳禁)'!$A$2:$AH$2,0)),"")</f>
        <v/>
      </c>
      <c r="U90" s="135"/>
      <c r="V90" s="166"/>
      <c r="W90" s="137" t="s">
        <v>15</v>
      </c>
      <c r="X90" s="138" t="str">
        <f t="shared" si="15"/>
        <v/>
      </c>
      <c r="Y90" s="139" t="str">
        <f t="shared" si="16"/>
        <v/>
      </c>
      <c r="Z90" s="144" t="str">
        <f t="shared" si="17"/>
        <v/>
      </c>
      <c r="AA90" s="1"/>
      <c r="AB90" s="6"/>
      <c r="AC90" s="6"/>
      <c r="AD90" s="6"/>
      <c r="AE90" s="6"/>
      <c r="AF90" s="6"/>
      <c r="AG90" s="6" t="str">
        <f t="shared" si="18"/>
        <v/>
      </c>
      <c r="AH90" s="6" t="str">
        <f t="shared" si="19"/>
        <v/>
      </c>
      <c r="AI90" s="6" t="str">
        <f t="shared" si="20"/>
        <v>-</v>
      </c>
      <c r="AJ90" s="6"/>
      <c r="AK90" s="6" t="str">
        <f t="shared" si="21"/>
        <v/>
      </c>
      <c r="AL90" s="6"/>
      <c r="AM90" s="6"/>
      <c r="AN90" s="6"/>
      <c r="AO90" s="6"/>
      <c r="AP90" s="6"/>
      <c r="AQ90" s="7"/>
      <c r="AR90" s="69"/>
      <c r="AS90" s="69"/>
      <c r="AT90" s="39">
        <v>74.0</v>
      </c>
      <c r="AU90" s="69" t="str">
        <f t="array" ref="AU90">IFERROR(INDEX('DB(読み込みシート※編集厳禁)'!$A$3:$AH$501,MATCH($C90,'DB(読み込みシート※編集厳禁)'!$B$3:$B$501,0),MATCH(AU$16,'DB(読み込みシート※編集厳禁)'!$A$2:$AH$2,0)),"")</f>
        <v/>
      </c>
      <c r="AV90" s="69" t="str">
        <f t="array" ref="AV90">IFERROR(INDEX('DB(読み込みシート※編集厳禁)'!$A$3:$AH$501,MATCH($C90,'DB(読み込みシート※編集厳禁)'!$B$3:$B$501,0),MATCH(AV$16,'DB(読み込みシート※編集厳禁)'!$A$2:$AH$2,0)),"")</f>
        <v/>
      </c>
      <c r="AW90" s="69" t="str">
        <f t="shared" si="22"/>
        <v/>
      </c>
      <c r="AX90" s="69" t="str">
        <f t="shared" si="23"/>
        <v/>
      </c>
      <c r="AY90" s="69" t="str">
        <f t="shared" si="24"/>
        <v/>
      </c>
      <c r="AZ90" s="69" t="str">
        <f t="shared" si="25"/>
        <v/>
      </c>
      <c r="BA90" s="69" t="str">
        <f t="shared" si="26"/>
        <v/>
      </c>
      <c r="BB90" s="69" t="str">
        <f t="shared" si="27"/>
        <v/>
      </c>
      <c r="BC90" s="69" t="str">
        <f t="shared" si="28"/>
        <v/>
      </c>
      <c r="BD90" s="70" t="str">
        <f t="shared" si="29"/>
        <v/>
      </c>
      <c r="BE90" s="70" t="str">
        <f t="shared" si="30"/>
        <v/>
      </c>
      <c r="BF90" s="1" t="str">
        <f t="shared" si="31"/>
        <v/>
      </c>
      <c r="BG90" s="1" t="str">
        <f t="shared" si="32"/>
        <v/>
      </c>
      <c r="BH90" s="1" t="str">
        <f t="shared" si="33"/>
        <v/>
      </c>
      <c r="BI90" s="1" t="str">
        <f t="shared" si="34"/>
        <v/>
      </c>
      <c r="BJ90" s="1" t="str">
        <f t="shared" si="35"/>
        <v/>
      </c>
      <c r="BK90" s="1" t="str">
        <f t="shared" si="36"/>
        <v/>
      </c>
      <c r="BL90" s="1" t="str">
        <f t="shared" si="37"/>
        <v/>
      </c>
      <c r="BM90" s="1" t="str">
        <f t="shared" si="38"/>
        <v/>
      </c>
      <c r="BN90" s="1" t="str">
        <f t="shared" si="39"/>
        <v/>
      </c>
      <c r="BO90" s="1" t="str">
        <f t="shared" si="40"/>
        <v/>
      </c>
      <c r="BP90" s="1" t="str">
        <f t="shared" si="41"/>
        <v/>
      </c>
      <c r="BQ90" s="1" t="str">
        <f t="shared" si="42"/>
        <v/>
      </c>
      <c r="BR90" s="1" t="str">
        <f t="shared" si="43"/>
        <v/>
      </c>
      <c r="BS90" s="1" t="str">
        <f t="shared" si="44"/>
        <v/>
      </c>
      <c r="BT90" s="1"/>
      <c r="BU90" s="1"/>
      <c r="BV90" s="1"/>
      <c r="BW90" s="1"/>
      <c r="BX90" s="1"/>
    </row>
    <row r="91">
      <c r="A91" s="1"/>
      <c r="B91" s="148" t="str">
        <f t="array" ref="B91">IFERROR(INDEX('DB(読み込みシート※編集厳禁)'!$A$3:$AH$501,MATCH($C91,'DB(読み込みシート※編集厳禁)'!$B$3:$B$501,0),MATCH(B$14,'DB(読み込みシート※編集厳禁)'!$A$2:$AH$2,0)),"")</f>
        <v/>
      </c>
      <c r="C91" s="149">
        <v>75.0</v>
      </c>
      <c r="D91" s="169" t="str">
        <f t="array" ref="D91">IFERROR(INDEX('DB(読み込みシート※編集厳禁)'!$A$3:$AH$501,MATCH($C91,'DB(読み込みシート※編集厳禁)'!$B$3:$B$501,0),MATCH(D$14,'DB(読み込みシート※編集厳禁)'!$A$2:$AH$2,0)),"")</f>
        <v/>
      </c>
      <c r="E91" s="170" t="str">
        <f t="array" ref="E91">IFERROR(INDEX('DB(読み込みシート※編集厳禁)'!$A$3:$AH$501,MATCH($C91,'DB(読み込みシート※編集厳禁)'!$B$3:$B$501,0),MATCH(E$14,'DB(読み込みシート※編集厳禁)'!$A$2:$AH$2,0)),"")</f>
        <v/>
      </c>
      <c r="F91" s="171" t="str">
        <f t="array" ref="F91">IFERROR(INDEX('DB(読み込みシート※編集厳禁)'!$A$3:$AH$501,MATCH($C91,'DB(読み込みシート※編集厳禁)'!$B$3:$B$501,0),MATCH(F$14,'DB(読み込みシート※編集厳禁)'!$A$2:$AH$2,0)),"")</f>
        <v/>
      </c>
      <c r="G91" s="133" t="str">
        <f t="shared" si="8"/>
        <v/>
      </c>
      <c r="H91" s="152" t="str">
        <f t="shared" si="9"/>
        <v>:00:000</v>
      </c>
      <c r="I91" s="135"/>
      <c r="J91" s="166"/>
      <c r="K91" s="137" t="s">
        <v>15</v>
      </c>
      <c r="L91" s="138" t="str">
        <f t="shared" si="10"/>
        <v/>
      </c>
      <c r="M91" s="139" t="str">
        <f t="shared" si="11"/>
        <v/>
      </c>
      <c r="N91" s="140" t="str">
        <f t="shared" si="12"/>
        <v/>
      </c>
      <c r="O91" s="141" t="str">
        <f t="shared" si="13"/>
        <v/>
      </c>
      <c r="P91" s="162" t="str">
        <f t="shared" si="14"/>
        <v>:00:000</v>
      </c>
      <c r="Q91" s="148" t="str">
        <f t="array" ref="Q91">IFERROR(INDEX('DB(読み込みシート※編集厳禁)'!$A$3:$AH$501,MATCH($C91,'DB(読み込みシート※編集厳禁)'!$B$3:$B$501,0),MATCH(Q$14,'DB(読み込みシート※編集厳禁)'!$A$2:$AH$2,0)),"")</f>
        <v/>
      </c>
      <c r="R91" s="149">
        <v>75.0</v>
      </c>
      <c r="S91" s="169" t="str">
        <f t="array" ref="S91">IFERROR(INDEX('DB(読み込みシート※編集厳禁)'!$A$3:$AH$501,MATCH($C91,'DB(読み込みシート※編集厳禁)'!$B$3:$B$501,0),MATCH(S$14,'DB(読み込みシート※編集厳禁)'!$A$2:$AH$2,0)),"")</f>
        <v/>
      </c>
      <c r="T91" s="170" t="str">
        <f t="array" ref="T91">IFERROR(INDEX('DB(読み込みシート※編集厳禁)'!$A$3:$AH$501,MATCH($C91,'DB(読み込みシート※編集厳禁)'!$B$3:$B$501,0),MATCH(T$14,'DB(読み込みシート※編集厳禁)'!$A$2:$AH$2,0)),"")</f>
        <v/>
      </c>
      <c r="U91" s="135"/>
      <c r="V91" s="166"/>
      <c r="W91" s="137" t="s">
        <v>15</v>
      </c>
      <c r="X91" s="138" t="str">
        <f t="shared" si="15"/>
        <v/>
      </c>
      <c r="Y91" s="139" t="str">
        <f t="shared" si="16"/>
        <v/>
      </c>
      <c r="Z91" s="144" t="str">
        <f t="shared" si="17"/>
        <v/>
      </c>
      <c r="AA91" s="1"/>
      <c r="AB91" s="6"/>
      <c r="AC91" s="6"/>
      <c r="AD91" s="6"/>
      <c r="AE91" s="6"/>
      <c r="AF91" s="6"/>
      <c r="AG91" s="6" t="str">
        <f t="shared" si="18"/>
        <v/>
      </c>
      <c r="AH91" s="6" t="str">
        <f t="shared" si="19"/>
        <v/>
      </c>
      <c r="AI91" s="6" t="str">
        <f t="shared" si="20"/>
        <v>-</v>
      </c>
      <c r="AJ91" s="6"/>
      <c r="AK91" s="6" t="str">
        <f t="shared" si="21"/>
        <v/>
      </c>
      <c r="AL91" s="6"/>
      <c r="AM91" s="6"/>
      <c r="AN91" s="6"/>
      <c r="AO91" s="6"/>
      <c r="AP91" s="6"/>
      <c r="AQ91" s="7"/>
      <c r="AR91" s="69"/>
      <c r="AS91" s="69"/>
      <c r="AT91" s="39">
        <v>75.0</v>
      </c>
      <c r="AU91" s="69" t="str">
        <f t="array" ref="AU91">IFERROR(INDEX('DB(読み込みシート※編集厳禁)'!$A$3:$AH$501,MATCH($C91,'DB(読み込みシート※編集厳禁)'!$B$3:$B$501,0),MATCH(AU$16,'DB(読み込みシート※編集厳禁)'!$A$2:$AH$2,0)),"")</f>
        <v/>
      </c>
      <c r="AV91" s="69" t="str">
        <f t="array" ref="AV91">IFERROR(INDEX('DB(読み込みシート※編集厳禁)'!$A$3:$AH$501,MATCH($C91,'DB(読み込みシート※編集厳禁)'!$B$3:$B$501,0),MATCH(AV$16,'DB(読み込みシート※編集厳禁)'!$A$2:$AH$2,0)),"")</f>
        <v/>
      </c>
      <c r="AW91" s="69" t="str">
        <f t="shared" si="22"/>
        <v/>
      </c>
      <c r="AX91" s="69" t="str">
        <f t="shared" si="23"/>
        <v/>
      </c>
      <c r="AY91" s="69" t="str">
        <f t="shared" si="24"/>
        <v/>
      </c>
      <c r="AZ91" s="69" t="str">
        <f t="shared" si="25"/>
        <v/>
      </c>
      <c r="BA91" s="69" t="str">
        <f t="shared" si="26"/>
        <v/>
      </c>
      <c r="BB91" s="69" t="str">
        <f t="shared" si="27"/>
        <v/>
      </c>
      <c r="BC91" s="69" t="str">
        <f t="shared" si="28"/>
        <v/>
      </c>
      <c r="BD91" s="70" t="str">
        <f t="shared" si="29"/>
        <v/>
      </c>
      <c r="BE91" s="70" t="str">
        <f t="shared" si="30"/>
        <v/>
      </c>
      <c r="BF91" s="1" t="str">
        <f t="shared" si="31"/>
        <v/>
      </c>
      <c r="BG91" s="1" t="str">
        <f t="shared" si="32"/>
        <v/>
      </c>
      <c r="BH91" s="1" t="str">
        <f t="shared" si="33"/>
        <v/>
      </c>
      <c r="BI91" s="1" t="str">
        <f t="shared" si="34"/>
        <v/>
      </c>
      <c r="BJ91" s="1" t="str">
        <f t="shared" si="35"/>
        <v/>
      </c>
      <c r="BK91" s="1" t="str">
        <f t="shared" si="36"/>
        <v/>
      </c>
      <c r="BL91" s="1" t="str">
        <f t="shared" si="37"/>
        <v/>
      </c>
      <c r="BM91" s="1" t="str">
        <f t="shared" si="38"/>
        <v/>
      </c>
      <c r="BN91" s="1" t="str">
        <f t="shared" si="39"/>
        <v/>
      </c>
      <c r="BO91" s="1" t="str">
        <f t="shared" si="40"/>
        <v/>
      </c>
      <c r="BP91" s="1" t="str">
        <f t="shared" si="41"/>
        <v/>
      </c>
      <c r="BQ91" s="1" t="str">
        <f t="shared" si="42"/>
        <v/>
      </c>
      <c r="BR91" s="1" t="str">
        <f t="shared" si="43"/>
        <v/>
      </c>
      <c r="BS91" s="1" t="str">
        <f t="shared" si="44"/>
        <v/>
      </c>
      <c r="BT91" s="1"/>
      <c r="BU91" s="1"/>
      <c r="BV91" s="1"/>
      <c r="BW91" s="1"/>
      <c r="BX91" s="1"/>
    </row>
    <row r="92">
      <c r="A92" s="1"/>
      <c r="B92" s="148" t="str">
        <f t="array" ref="B92">IFERROR(INDEX('DB(読み込みシート※編集厳禁)'!$A$3:$AH$501,MATCH($C92,'DB(読み込みシート※編集厳禁)'!$B$3:$B$501,0),MATCH(B$14,'DB(読み込みシート※編集厳禁)'!$A$2:$AH$2,0)),"")</f>
        <v/>
      </c>
      <c r="C92" s="149">
        <v>76.0</v>
      </c>
      <c r="D92" s="169" t="str">
        <f t="array" ref="D92">IFERROR(INDEX('DB(読み込みシート※編集厳禁)'!$A$3:$AH$501,MATCH($C92,'DB(読み込みシート※編集厳禁)'!$B$3:$B$501,0),MATCH(D$14,'DB(読み込みシート※編集厳禁)'!$A$2:$AH$2,0)),"")</f>
        <v/>
      </c>
      <c r="E92" s="170" t="str">
        <f t="array" ref="E92">IFERROR(INDEX('DB(読み込みシート※編集厳禁)'!$A$3:$AH$501,MATCH($C92,'DB(読み込みシート※編集厳禁)'!$B$3:$B$501,0),MATCH(E$14,'DB(読み込みシート※編集厳禁)'!$A$2:$AH$2,0)),"")</f>
        <v/>
      </c>
      <c r="F92" s="171" t="str">
        <f t="array" ref="F92">IFERROR(INDEX('DB(読み込みシート※編集厳禁)'!$A$3:$AH$501,MATCH($C92,'DB(読み込みシート※編集厳禁)'!$B$3:$B$501,0),MATCH(F$14,'DB(読み込みシート※編集厳禁)'!$A$2:$AH$2,0)),"")</f>
        <v/>
      </c>
      <c r="G92" s="133" t="str">
        <f t="shared" si="8"/>
        <v/>
      </c>
      <c r="H92" s="152" t="str">
        <f t="shared" si="9"/>
        <v>:00:000</v>
      </c>
      <c r="I92" s="135"/>
      <c r="J92" s="166"/>
      <c r="K92" s="137" t="s">
        <v>15</v>
      </c>
      <c r="L92" s="138" t="str">
        <f t="shared" si="10"/>
        <v/>
      </c>
      <c r="M92" s="139" t="str">
        <f t="shared" si="11"/>
        <v/>
      </c>
      <c r="N92" s="140" t="str">
        <f t="shared" si="12"/>
        <v/>
      </c>
      <c r="O92" s="141" t="str">
        <f t="shared" si="13"/>
        <v/>
      </c>
      <c r="P92" s="162" t="str">
        <f t="shared" si="14"/>
        <v>:00:000</v>
      </c>
      <c r="Q92" s="148" t="str">
        <f t="array" ref="Q92">IFERROR(INDEX('DB(読み込みシート※編集厳禁)'!$A$3:$AH$501,MATCH($C92,'DB(読み込みシート※編集厳禁)'!$B$3:$B$501,0),MATCH(Q$14,'DB(読み込みシート※編集厳禁)'!$A$2:$AH$2,0)),"")</f>
        <v/>
      </c>
      <c r="R92" s="149">
        <v>76.0</v>
      </c>
      <c r="S92" s="169" t="str">
        <f t="array" ref="S92">IFERROR(INDEX('DB(読み込みシート※編集厳禁)'!$A$3:$AH$501,MATCH($C92,'DB(読み込みシート※編集厳禁)'!$B$3:$B$501,0),MATCH(S$14,'DB(読み込みシート※編集厳禁)'!$A$2:$AH$2,0)),"")</f>
        <v/>
      </c>
      <c r="T92" s="170" t="str">
        <f t="array" ref="T92">IFERROR(INDEX('DB(読み込みシート※編集厳禁)'!$A$3:$AH$501,MATCH($C92,'DB(読み込みシート※編集厳禁)'!$B$3:$B$501,0),MATCH(T$14,'DB(読み込みシート※編集厳禁)'!$A$2:$AH$2,0)),"")</f>
        <v/>
      </c>
      <c r="U92" s="135"/>
      <c r="V92" s="166"/>
      <c r="W92" s="137" t="s">
        <v>15</v>
      </c>
      <c r="X92" s="138" t="str">
        <f t="shared" si="15"/>
        <v/>
      </c>
      <c r="Y92" s="139" t="str">
        <f t="shared" si="16"/>
        <v/>
      </c>
      <c r="Z92" s="144" t="str">
        <f t="shared" si="17"/>
        <v/>
      </c>
      <c r="AA92" s="1"/>
      <c r="AB92" s="6"/>
      <c r="AC92" s="6"/>
      <c r="AD92" s="6"/>
      <c r="AE92" s="6"/>
      <c r="AF92" s="6"/>
      <c r="AG92" s="6" t="str">
        <f t="shared" si="18"/>
        <v/>
      </c>
      <c r="AH92" s="6" t="str">
        <f t="shared" si="19"/>
        <v/>
      </c>
      <c r="AI92" s="6" t="str">
        <f t="shared" si="20"/>
        <v>-</v>
      </c>
      <c r="AJ92" s="6"/>
      <c r="AK92" s="6" t="str">
        <f t="shared" si="21"/>
        <v/>
      </c>
      <c r="AL92" s="6"/>
      <c r="AM92" s="6"/>
      <c r="AN92" s="6"/>
      <c r="AO92" s="6"/>
      <c r="AP92" s="6"/>
      <c r="AQ92" s="7"/>
      <c r="AR92" s="69"/>
      <c r="AS92" s="69"/>
      <c r="AT92" s="39">
        <v>76.0</v>
      </c>
      <c r="AU92" s="69" t="str">
        <f t="array" ref="AU92">IFERROR(INDEX('DB(読み込みシート※編集厳禁)'!$A$3:$AH$501,MATCH($C92,'DB(読み込みシート※編集厳禁)'!$B$3:$B$501,0),MATCH(AU$16,'DB(読み込みシート※編集厳禁)'!$A$2:$AH$2,0)),"")</f>
        <v/>
      </c>
      <c r="AV92" s="69" t="str">
        <f t="array" ref="AV92">IFERROR(INDEX('DB(読み込みシート※編集厳禁)'!$A$3:$AH$501,MATCH($C92,'DB(読み込みシート※編集厳禁)'!$B$3:$B$501,0),MATCH(AV$16,'DB(読み込みシート※編集厳禁)'!$A$2:$AH$2,0)),"")</f>
        <v/>
      </c>
      <c r="AW92" s="69" t="str">
        <f t="shared" si="22"/>
        <v/>
      </c>
      <c r="AX92" s="69" t="str">
        <f t="shared" si="23"/>
        <v/>
      </c>
      <c r="AY92" s="69" t="str">
        <f t="shared" si="24"/>
        <v/>
      </c>
      <c r="AZ92" s="69" t="str">
        <f t="shared" si="25"/>
        <v/>
      </c>
      <c r="BA92" s="69" t="str">
        <f t="shared" si="26"/>
        <v/>
      </c>
      <c r="BB92" s="69" t="str">
        <f t="shared" si="27"/>
        <v/>
      </c>
      <c r="BC92" s="69" t="str">
        <f t="shared" si="28"/>
        <v/>
      </c>
      <c r="BD92" s="70" t="str">
        <f t="shared" si="29"/>
        <v/>
      </c>
      <c r="BE92" s="70" t="str">
        <f t="shared" si="30"/>
        <v/>
      </c>
      <c r="BF92" s="1" t="str">
        <f t="shared" si="31"/>
        <v/>
      </c>
      <c r="BG92" s="1" t="str">
        <f t="shared" si="32"/>
        <v/>
      </c>
      <c r="BH92" s="1" t="str">
        <f t="shared" si="33"/>
        <v/>
      </c>
      <c r="BI92" s="1" t="str">
        <f t="shared" si="34"/>
        <v/>
      </c>
      <c r="BJ92" s="1" t="str">
        <f t="shared" si="35"/>
        <v/>
      </c>
      <c r="BK92" s="1" t="str">
        <f t="shared" si="36"/>
        <v/>
      </c>
      <c r="BL92" s="1" t="str">
        <f t="shared" si="37"/>
        <v/>
      </c>
      <c r="BM92" s="1" t="str">
        <f t="shared" si="38"/>
        <v/>
      </c>
      <c r="BN92" s="1" t="str">
        <f t="shared" si="39"/>
        <v/>
      </c>
      <c r="BO92" s="1" t="str">
        <f t="shared" si="40"/>
        <v/>
      </c>
      <c r="BP92" s="1" t="str">
        <f t="shared" si="41"/>
        <v/>
      </c>
      <c r="BQ92" s="1" t="str">
        <f t="shared" si="42"/>
        <v/>
      </c>
      <c r="BR92" s="1" t="str">
        <f t="shared" si="43"/>
        <v/>
      </c>
      <c r="BS92" s="1" t="str">
        <f t="shared" si="44"/>
        <v/>
      </c>
      <c r="BT92" s="1"/>
      <c r="BU92" s="1"/>
      <c r="BV92" s="1"/>
      <c r="BW92" s="1"/>
      <c r="BX92" s="1"/>
    </row>
    <row r="93">
      <c r="A93" s="1"/>
      <c r="B93" s="148" t="str">
        <f t="array" ref="B93">IFERROR(INDEX('DB(読み込みシート※編集厳禁)'!$A$3:$AH$501,MATCH($C93,'DB(読み込みシート※編集厳禁)'!$B$3:$B$501,0),MATCH(B$14,'DB(読み込みシート※編集厳禁)'!$A$2:$AH$2,0)),"")</f>
        <v/>
      </c>
      <c r="C93" s="149">
        <v>77.0</v>
      </c>
      <c r="D93" s="169" t="str">
        <f t="array" ref="D93">IFERROR(INDEX('DB(読み込みシート※編集厳禁)'!$A$3:$AH$501,MATCH($C93,'DB(読み込みシート※編集厳禁)'!$B$3:$B$501,0),MATCH(D$14,'DB(読み込みシート※編集厳禁)'!$A$2:$AH$2,0)),"")</f>
        <v/>
      </c>
      <c r="E93" s="170" t="str">
        <f t="array" ref="E93">IFERROR(INDEX('DB(読み込みシート※編集厳禁)'!$A$3:$AH$501,MATCH($C93,'DB(読み込みシート※編集厳禁)'!$B$3:$B$501,0),MATCH(E$14,'DB(読み込みシート※編集厳禁)'!$A$2:$AH$2,0)),"")</f>
        <v/>
      </c>
      <c r="F93" s="171" t="str">
        <f t="array" ref="F93">IFERROR(INDEX('DB(読み込みシート※編集厳禁)'!$A$3:$AH$501,MATCH($C93,'DB(読み込みシート※編集厳禁)'!$B$3:$B$501,0),MATCH(F$14,'DB(読み込みシート※編集厳禁)'!$A$2:$AH$2,0)),"")</f>
        <v/>
      </c>
      <c r="G93" s="133" t="str">
        <f t="shared" si="8"/>
        <v/>
      </c>
      <c r="H93" s="152" t="str">
        <f t="shared" si="9"/>
        <v>:00:000</v>
      </c>
      <c r="I93" s="135"/>
      <c r="J93" s="166"/>
      <c r="K93" s="137" t="s">
        <v>15</v>
      </c>
      <c r="L93" s="138" t="str">
        <f t="shared" si="10"/>
        <v/>
      </c>
      <c r="M93" s="139" t="str">
        <f t="shared" si="11"/>
        <v/>
      </c>
      <c r="N93" s="140" t="str">
        <f t="shared" si="12"/>
        <v/>
      </c>
      <c r="O93" s="141" t="str">
        <f t="shared" si="13"/>
        <v/>
      </c>
      <c r="P93" s="162" t="str">
        <f t="shared" si="14"/>
        <v>:00:000</v>
      </c>
      <c r="Q93" s="148" t="str">
        <f t="array" ref="Q93">IFERROR(INDEX('DB(読み込みシート※編集厳禁)'!$A$3:$AH$501,MATCH($C93,'DB(読み込みシート※編集厳禁)'!$B$3:$B$501,0),MATCH(Q$14,'DB(読み込みシート※編集厳禁)'!$A$2:$AH$2,0)),"")</f>
        <v/>
      </c>
      <c r="R93" s="149">
        <v>77.0</v>
      </c>
      <c r="S93" s="169" t="str">
        <f t="array" ref="S93">IFERROR(INDEX('DB(読み込みシート※編集厳禁)'!$A$3:$AH$501,MATCH($C93,'DB(読み込みシート※編集厳禁)'!$B$3:$B$501,0),MATCH(S$14,'DB(読み込みシート※編集厳禁)'!$A$2:$AH$2,0)),"")</f>
        <v/>
      </c>
      <c r="T93" s="170" t="str">
        <f t="array" ref="T93">IFERROR(INDEX('DB(読み込みシート※編集厳禁)'!$A$3:$AH$501,MATCH($C93,'DB(読み込みシート※編集厳禁)'!$B$3:$B$501,0),MATCH(T$14,'DB(読み込みシート※編集厳禁)'!$A$2:$AH$2,0)),"")</f>
        <v/>
      </c>
      <c r="U93" s="135"/>
      <c r="V93" s="166"/>
      <c r="W93" s="137" t="s">
        <v>15</v>
      </c>
      <c r="X93" s="138" t="str">
        <f t="shared" si="15"/>
        <v/>
      </c>
      <c r="Y93" s="139" t="str">
        <f t="shared" si="16"/>
        <v/>
      </c>
      <c r="Z93" s="144" t="str">
        <f t="shared" si="17"/>
        <v/>
      </c>
      <c r="AA93" s="1"/>
      <c r="AB93" s="6"/>
      <c r="AC93" s="6"/>
      <c r="AD93" s="6"/>
      <c r="AE93" s="6"/>
      <c r="AF93" s="6"/>
      <c r="AG93" s="6" t="str">
        <f t="shared" si="18"/>
        <v/>
      </c>
      <c r="AH93" s="6" t="str">
        <f t="shared" si="19"/>
        <v/>
      </c>
      <c r="AI93" s="6" t="str">
        <f t="shared" si="20"/>
        <v>-</v>
      </c>
      <c r="AJ93" s="6"/>
      <c r="AK93" s="6" t="str">
        <f t="shared" si="21"/>
        <v/>
      </c>
      <c r="AL93" s="6"/>
      <c r="AM93" s="6"/>
      <c r="AN93" s="6"/>
      <c r="AO93" s="6"/>
      <c r="AP93" s="6"/>
      <c r="AQ93" s="7"/>
      <c r="AR93" s="69"/>
      <c r="AS93" s="69"/>
      <c r="AT93" s="39">
        <v>77.0</v>
      </c>
      <c r="AU93" s="69" t="str">
        <f t="array" ref="AU93">IFERROR(INDEX('DB(読み込みシート※編集厳禁)'!$A$3:$AH$501,MATCH($C93,'DB(読み込みシート※編集厳禁)'!$B$3:$B$501,0),MATCH(AU$16,'DB(読み込みシート※編集厳禁)'!$A$2:$AH$2,0)),"")</f>
        <v/>
      </c>
      <c r="AV93" s="69" t="str">
        <f t="array" ref="AV93">IFERROR(INDEX('DB(読み込みシート※編集厳禁)'!$A$3:$AH$501,MATCH($C93,'DB(読み込みシート※編集厳禁)'!$B$3:$B$501,0),MATCH(AV$16,'DB(読み込みシート※編集厳禁)'!$A$2:$AH$2,0)),"")</f>
        <v/>
      </c>
      <c r="AW93" s="69" t="str">
        <f t="shared" si="22"/>
        <v/>
      </c>
      <c r="AX93" s="69" t="str">
        <f t="shared" si="23"/>
        <v/>
      </c>
      <c r="AY93" s="69" t="str">
        <f t="shared" si="24"/>
        <v/>
      </c>
      <c r="AZ93" s="69" t="str">
        <f t="shared" si="25"/>
        <v/>
      </c>
      <c r="BA93" s="69" t="str">
        <f t="shared" si="26"/>
        <v/>
      </c>
      <c r="BB93" s="69" t="str">
        <f t="shared" si="27"/>
        <v/>
      </c>
      <c r="BC93" s="69" t="str">
        <f t="shared" si="28"/>
        <v/>
      </c>
      <c r="BD93" s="70" t="str">
        <f t="shared" si="29"/>
        <v/>
      </c>
      <c r="BE93" s="70" t="str">
        <f t="shared" si="30"/>
        <v/>
      </c>
      <c r="BF93" s="1" t="str">
        <f t="shared" si="31"/>
        <v/>
      </c>
      <c r="BG93" s="1" t="str">
        <f t="shared" si="32"/>
        <v/>
      </c>
      <c r="BH93" s="1" t="str">
        <f t="shared" si="33"/>
        <v/>
      </c>
      <c r="BI93" s="1" t="str">
        <f t="shared" si="34"/>
        <v/>
      </c>
      <c r="BJ93" s="1" t="str">
        <f t="shared" si="35"/>
        <v/>
      </c>
      <c r="BK93" s="1" t="str">
        <f t="shared" si="36"/>
        <v/>
      </c>
      <c r="BL93" s="1" t="str">
        <f t="shared" si="37"/>
        <v/>
      </c>
      <c r="BM93" s="1" t="str">
        <f t="shared" si="38"/>
        <v/>
      </c>
      <c r="BN93" s="1" t="str">
        <f t="shared" si="39"/>
        <v/>
      </c>
      <c r="BO93" s="1" t="str">
        <f t="shared" si="40"/>
        <v/>
      </c>
      <c r="BP93" s="1" t="str">
        <f t="shared" si="41"/>
        <v/>
      </c>
      <c r="BQ93" s="1" t="str">
        <f t="shared" si="42"/>
        <v/>
      </c>
      <c r="BR93" s="1" t="str">
        <f t="shared" si="43"/>
        <v/>
      </c>
      <c r="BS93" s="1" t="str">
        <f t="shared" si="44"/>
        <v/>
      </c>
      <c r="BT93" s="1"/>
      <c r="BU93" s="1"/>
      <c r="BV93" s="1"/>
      <c r="BW93" s="1"/>
      <c r="BX93" s="1"/>
    </row>
    <row r="94">
      <c r="A94" s="1"/>
      <c r="B94" s="148" t="str">
        <f t="array" ref="B94">IFERROR(INDEX('DB(読み込みシート※編集厳禁)'!$A$3:$AH$501,MATCH($C94,'DB(読み込みシート※編集厳禁)'!$B$3:$B$501,0),MATCH(B$14,'DB(読み込みシート※編集厳禁)'!$A$2:$AH$2,0)),"")</f>
        <v/>
      </c>
      <c r="C94" s="149">
        <v>78.0</v>
      </c>
      <c r="D94" s="169" t="str">
        <f t="array" ref="D94">IFERROR(INDEX('DB(読み込みシート※編集厳禁)'!$A$3:$AH$501,MATCH($C94,'DB(読み込みシート※編集厳禁)'!$B$3:$B$501,0),MATCH(D$14,'DB(読み込みシート※編集厳禁)'!$A$2:$AH$2,0)),"")</f>
        <v/>
      </c>
      <c r="E94" s="170" t="str">
        <f t="array" ref="E94">IFERROR(INDEX('DB(読み込みシート※編集厳禁)'!$A$3:$AH$501,MATCH($C94,'DB(読み込みシート※編集厳禁)'!$B$3:$B$501,0),MATCH(E$14,'DB(読み込みシート※編集厳禁)'!$A$2:$AH$2,0)),"")</f>
        <v/>
      </c>
      <c r="F94" s="171" t="str">
        <f t="array" ref="F94">IFERROR(INDEX('DB(読み込みシート※編集厳禁)'!$A$3:$AH$501,MATCH($C94,'DB(読み込みシート※編集厳禁)'!$B$3:$B$501,0),MATCH(F$14,'DB(読み込みシート※編集厳禁)'!$A$2:$AH$2,0)),"")</f>
        <v/>
      </c>
      <c r="G94" s="133" t="str">
        <f t="shared" si="8"/>
        <v/>
      </c>
      <c r="H94" s="152" t="str">
        <f t="shared" si="9"/>
        <v>:00:000</v>
      </c>
      <c r="I94" s="135"/>
      <c r="J94" s="166"/>
      <c r="K94" s="137" t="s">
        <v>15</v>
      </c>
      <c r="L94" s="138" t="str">
        <f t="shared" si="10"/>
        <v/>
      </c>
      <c r="M94" s="139" t="str">
        <f t="shared" si="11"/>
        <v/>
      </c>
      <c r="N94" s="140" t="str">
        <f t="shared" si="12"/>
        <v/>
      </c>
      <c r="O94" s="141" t="str">
        <f t="shared" si="13"/>
        <v/>
      </c>
      <c r="P94" s="162" t="str">
        <f t="shared" si="14"/>
        <v>:00:000</v>
      </c>
      <c r="Q94" s="148" t="str">
        <f t="array" ref="Q94">IFERROR(INDEX('DB(読み込みシート※編集厳禁)'!$A$3:$AH$501,MATCH($C94,'DB(読み込みシート※編集厳禁)'!$B$3:$B$501,0),MATCH(Q$14,'DB(読み込みシート※編集厳禁)'!$A$2:$AH$2,0)),"")</f>
        <v/>
      </c>
      <c r="R94" s="149">
        <v>78.0</v>
      </c>
      <c r="S94" s="169" t="str">
        <f t="array" ref="S94">IFERROR(INDEX('DB(読み込みシート※編集厳禁)'!$A$3:$AH$501,MATCH($C94,'DB(読み込みシート※編集厳禁)'!$B$3:$B$501,0),MATCH(S$14,'DB(読み込みシート※編集厳禁)'!$A$2:$AH$2,0)),"")</f>
        <v/>
      </c>
      <c r="T94" s="170" t="str">
        <f t="array" ref="T94">IFERROR(INDEX('DB(読み込みシート※編集厳禁)'!$A$3:$AH$501,MATCH($C94,'DB(読み込みシート※編集厳禁)'!$B$3:$B$501,0),MATCH(T$14,'DB(読み込みシート※編集厳禁)'!$A$2:$AH$2,0)),"")</f>
        <v/>
      </c>
      <c r="U94" s="135"/>
      <c r="V94" s="166"/>
      <c r="W94" s="137" t="s">
        <v>15</v>
      </c>
      <c r="X94" s="138" t="str">
        <f t="shared" si="15"/>
        <v/>
      </c>
      <c r="Y94" s="139" t="str">
        <f t="shared" si="16"/>
        <v/>
      </c>
      <c r="Z94" s="144" t="str">
        <f t="shared" si="17"/>
        <v/>
      </c>
      <c r="AA94" s="1"/>
      <c r="AB94" s="6"/>
      <c r="AC94" s="6"/>
      <c r="AD94" s="6"/>
      <c r="AE94" s="6"/>
      <c r="AF94" s="6"/>
      <c r="AG94" s="6" t="str">
        <f t="shared" si="18"/>
        <v/>
      </c>
      <c r="AH94" s="6" t="str">
        <f t="shared" si="19"/>
        <v/>
      </c>
      <c r="AI94" s="6" t="str">
        <f t="shared" si="20"/>
        <v>-</v>
      </c>
      <c r="AJ94" s="6"/>
      <c r="AK94" s="6" t="str">
        <f t="shared" si="21"/>
        <v/>
      </c>
      <c r="AL94" s="6"/>
      <c r="AM94" s="6"/>
      <c r="AN94" s="6"/>
      <c r="AO94" s="6"/>
      <c r="AP94" s="6"/>
      <c r="AQ94" s="7"/>
      <c r="AR94" s="69"/>
      <c r="AS94" s="69"/>
      <c r="AT94" s="39">
        <v>78.0</v>
      </c>
      <c r="AU94" s="69" t="str">
        <f t="array" ref="AU94">IFERROR(INDEX('DB(読み込みシート※編集厳禁)'!$A$3:$AH$501,MATCH($C94,'DB(読み込みシート※編集厳禁)'!$B$3:$B$501,0),MATCH(AU$16,'DB(読み込みシート※編集厳禁)'!$A$2:$AH$2,0)),"")</f>
        <v/>
      </c>
      <c r="AV94" s="69" t="str">
        <f t="array" ref="AV94">IFERROR(INDEX('DB(読み込みシート※編集厳禁)'!$A$3:$AH$501,MATCH($C94,'DB(読み込みシート※編集厳禁)'!$B$3:$B$501,0),MATCH(AV$16,'DB(読み込みシート※編集厳禁)'!$A$2:$AH$2,0)),"")</f>
        <v/>
      </c>
      <c r="AW94" s="69" t="str">
        <f t="shared" si="22"/>
        <v/>
      </c>
      <c r="AX94" s="69" t="str">
        <f t="shared" si="23"/>
        <v/>
      </c>
      <c r="AY94" s="69" t="str">
        <f t="shared" si="24"/>
        <v/>
      </c>
      <c r="AZ94" s="69" t="str">
        <f t="shared" si="25"/>
        <v/>
      </c>
      <c r="BA94" s="69" t="str">
        <f t="shared" si="26"/>
        <v/>
      </c>
      <c r="BB94" s="69" t="str">
        <f t="shared" si="27"/>
        <v/>
      </c>
      <c r="BC94" s="69" t="str">
        <f t="shared" si="28"/>
        <v/>
      </c>
      <c r="BD94" s="70" t="str">
        <f t="shared" si="29"/>
        <v/>
      </c>
      <c r="BE94" s="70" t="str">
        <f t="shared" si="30"/>
        <v/>
      </c>
      <c r="BF94" s="1" t="str">
        <f t="shared" si="31"/>
        <v/>
      </c>
      <c r="BG94" s="1" t="str">
        <f t="shared" si="32"/>
        <v/>
      </c>
      <c r="BH94" s="1" t="str">
        <f t="shared" si="33"/>
        <v/>
      </c>
      <c r="BI94" s="1" t="str">
        <f t="shared" si="34"/>
        <v/>
      </c>
      <c r="BJ94" s="1" t="str">
        <f t="shared" si="35"/>
        <v/>
      </c>
      <c r="BK94" s="1" t="str">
        <f t="shared" si="36"/>
        <v/>
      </c>
      <c r="BL94" s="1" t="str">
        <f t="shared" si="37"/>
        <v/>
      </c>
      <c r="BM94" s="1" t="str">
        <f t="shared" si="38"/>
        <v/>
      </c>
      <c r="BN94" s="1" t="str">
        <f t="shared" si="39"/>
        <v/>
      </c>
      <c r="BO94" s="1" t="str">
        <f t="shared" si="40"/>
        <v/>
      </c>
      <c r="BP94" s="1" t="str">
        <f t="shared" si="41"/>
        <v/>
      </c>
      <c r="BQ94" s="1" t="str">
        <f t="shared" si="42"/>
        <v/>
      </c>
      <c r="BR94" s="1" t="str">
        <f t="shared" si="43"/>
        <v/>
      </c>
      <c r="BS94" s="1" t="str">
        <f t="shared" si="44"/>
        <v/>
      </c>
      <c r="BT94" s="1"/>
      <c r="BU94" s="1"/>
      <c r="BV94" s="1"/>
      <c r="BW94" s="1"/>
      <c r="BX94" s="1"/>
    </row>
    <row r="95">
      <c r="A95" s="1"/>
      <c r="B95" s="148" t="str">
        <f t="array" ref="B95">IFERROR(INDEX('DB(読み込みシート※編集厳禁)'!$A$3:$AH$501,MATCH($C95,'DB(読み込みシート※編集厳禁)'!$B$3:$B$501,0),MATCH(B$14,'DB(読み込みシート※編集厳禁)'!$A$2:$AH$2,0)),"")</f>
        <v/>
      </c>
      <c r="C95" s="149">
        <v>79.0</v>
      </c>
      <c r="D95" s="169" t="str">
        <f t="array" ref="D95">IFERROR(INDEX('DB(読み込みシート※編集厳禁)'!$A$3:$AH$501,MATCH($C95,'DB(読み込みシート※編集厳禁)'!$B$3:$B$501,0),MATCH(D$14,'DB(読み込みシート※編集厳禁)'!$A$2:$AH$2,0)),"")</f>
        <v/>
      </c>
      <c r="E95" s="170" t="str">
        <f t="array" ref="E95">IFERROR(INDEX('DB(読み込みシート※編集厳禁)'!$A$3:$AH$501,MATCH($C95,'DB(読み込みシート※編集厳禁)'!$B$3:$B$501,0),MATCH(E$14,'DB(読み込みシート※編集厳禁)'!$A$2:$AH$2,0)),"")</f>
        <v/>
      </c>
      <c r="F95" s="171" t="str">
        <f t="array" ref="F95">IFERROR(INDEX('DB(読み込みシート※編集厳禁)'!$A$3:$AH$501,MATCH($C95,'DB(読み込みシート※編集厳禁)'!$B$3:$B$501,0),MATCH(F$14,'DB(読み込みシート※編集厳禁)'!$A$2:$AH$2,0)),"")</f>
        <v/>
      </c>
      <c r="G95" s="133" t="str">
        <f t="shared" si="8"/>
        <v/>
      </c>
      <c r="H95" s="152" t="str">
        <f t="shared" si="9"/>
        <v>:00:000</v>
      </c>
      <c r="I95" s="135"/>
      <c r="J95" s="166"/>
      <c r="K95" s="137" t="s">
        <v>15</v>
      </c>
      <c r="L95" s="138" t="str">
        <f t="shared" si="10"/>
        <v/>
      </c>
      <c r="M95" s="139" t="str">
        <f t="shared" si="11"/>
        <v/>
      </c>
      <c r="N95" s="140" t="str">
        <f t="shared" si="12"/>
        <v/>
      </c>
      <c r="O95" s="141" t="str">
        <f t="shared" si="13"/>
        <v/>
      </c>
      <c r="P95" s="162" t="str">
        <f t="shared" si="14"/>
        <v>:00:000</v>
      </c>
      <c r="Q95" s="148" t="str">
        <f t="array" ref="Q95">IFERROR(INDEX('DB(読み込みシート※編集厳禁)'!$A$3:$AH$501,MATCH($C95,'DB(読み込みシート※編集厳禁)'!$B$3:$B$501,0),MATCH(Q$14,'DB(読み込みシート※編集厳禁)'!$A$2:$AH$2,0)),"")</f>
        <v/>
      </c>
      <c r="R95" s="149">
        <v>79.0</v>
      </c>
      <c r="S95" s="169" t="str">
        <f t="array" ref="S95">IFERROR(INDEX('DB(読み込みシート※編集厳禁)'!$A$3:$AH$501,MATCH($C95,'DB(読み込みシート※編集厳禁)'!$B$3:$B$501,0),MATCH(S$14,'DB(読み込みシート※編集厳禁)'!$A$2:$AH$2,0)),"")</f>
        <v/>
      </c>
      <c r="T95" s="170" t="str">
        <f t="array" ref="T95">IFERROR(INDEX('DB(読み込みシート※編集厳禁)'!$A$3:$AH$501,MATCH($C95,'DB(読み込みシート※編集厳禁)'!$B$3:$B$501,0),MATCH(T$14,'DB(読み込みシート※編集厳禁)'!$A$2:$AH$2,0)),"")</f>
        <v/>
      </c>
      <c r="U95" s="135"/>
      <c r="V95" s="166"/>
      <c r="W95" s="137" t="s">
        <v>15</v>
      </c>
      <c r="X95" s="138" t="str">
        <f t="shared" si="15"/>
        <v/>
      </c>
      <c r="Y95" s="139" t="str">
        <f t="shared" si="16"/>
        <v/>
      </c>
      <c r="Z95" s="144" t="str">
        <f t="shared" si="17"/>
        <v/>
      </c>
      <c r="AA95" s="1"/>
      <c r="AB95" s="6"/>
      <c r="AC95" s="6"/>
      <c r="AD95" s="6"/>
      <c r="AE95" s="6"/>
      <c r="AF95" s="6"/>
      <c r="AG95" s="6" t="str">
        <f t="shared" si="18"/>
        <v/>
      </c>
      <c r="AH95" s="6" t="str">
        <f t="shared" si="19"/>
        <v/>
      </c>
      <c r="AI95" s="6" t="str">
        <f t="shared" si="20"/>
        <v>-</v>
      </c>
      <c r="AJ95" s="6"/>
      <c r="AK95" s="6" t="str">
        <f t="shared" si="21"/>
        <v/>
      </c>
      <c r="AL95" s="6"/>
      <c r="AM95" s="6"/>
      <c r="AN95" s="6"/>
      <c r="AO95" s="6"/>
      <c r="AP95" s="6"/>
      <c r="AQ95" s="7"/>
      <c r="AR95" s="69"/>
      <c r="AS95" s="69"/>
      <c r="AT95" s="39">
        <v>79.0</v>
      </c>
      <c r="AU95" s="69" t="str">
        <f t="array" ref="AU95">IFERROR(INDEX('DB(読み込みシート※編集厳禁)'!$A$3:$AH$501,MATCH($C95,'DB(読み込みシート※編集厳禁)'!$B$3:$B$501,0),MATCH(AU$16,'DB(読み込みシート※編集厳禁)'!$A$2:$AH$2,0)),"")</f>
        <v/>
      </c>
      <c r="AV95" s="69" t="str">
        <f t="array" ref="AV95">IFERROR(INDEX('DB(読み込みシート※編集厳禁)'!$A$3:$AH$501,MATCH($C95,'DB(読み込みシート※編集厳禁)'!$B$3:$B$501,0),MATCH(AV$16,'DB(読み込みシート※編集厳禁)'!$A$2:$AH$2,0)),"")</f>
        <v/>
      </c>
      <c r="AW95" s="69" t="str">
        <f t="shared" si="22"/>
        <v/>
      </c>
      <c r="AX95" s="69" t="str">
        <f t="shared" si="23"/>
        <v/>
      </c>
      <c r="AY95" s="69" t="str">
        <f t="shared" si="24"/>
        <v/>
      </c>
      <c r="AZ95" s="69" t="str">
        <f t="shared" si="25"/>
        <v/>
      </c>
      <c r="BA95" s="69" t="str">
        <f t="shared" si="26"/>
        <v/>
      </c>
      <c r="BB95" s="69" t="str">
        <f t="shared" si="27"/>
        <v/>
      </c>
      <c r="BC95" s="69" t="str">
        <f t="shared" si="28"/>
        <v/>
      </c>
      <c r="BD95" s="70" t="str">
        <f t="shared" si="29"/>
        <v/>
      </c>
      <c r="BE95" s="70" t="str">
        <f t="shared" si="30"/>
        <v/>
      </c>
      <c r="BF95" s="1" t="str">
        <f t="shared" si="31"/>
        <v/>
      </c>
      <c r="BG95" s="1" t="str">
        <f t="shared" si="32"/>
        <v/>
      </c>
      <c r="BH95" s="1" t="str">
        <f t="shared" si="33"/>
        <v/>
      </c>
      <c r="BI95" s="1" t="str">
        <f t="shared" si="34"/>
        <v/>
      </c>
      <c r="BJ95" s="1" t="str">
        <f t="shared" si="35"/>
        <v/>
      </c>
      <c r="BK95" s="1" t="str">
        <f t="shared" si="36"/>
        <v/>
      </c>
      <c r="BL95" s="1" t="str">
        <f t="shared" si="37"/>
        <v/>
      </c>
      <c r="BM95" s="1" t="str">
        <f t="shared" si="38"/>
        <v/>
      </c>
      <c r="BN95" s="1" t="str">
        <f t="shared" si="39"/>
        <v/>
      </c>
      <c r="BO95" s="1" t="str">
        <f t="shared" si="40"/>
        <v/>
      </c>
      <c r="BP95" s="1" t="str">
        <f t="shared" si="41"/>
        <v/>
      </c>
      <c r="BQ95" s="1" t="str">
        <f t="shared" si="42"/>
        <v/>
      </c>
      <c r="BR95" s="1" t="str">
        <f t="shared" si="43"/>
        <v/>
      </c>
      <c r="BS95" s="1" t="str">
        <f t="shared" si="44"/>
        <v/>
      </c>
      <c r="BT95" s="1"/>
      <c r="BU95" s="1"/>
      <c r="BV95" s="1"/>
      <c r="BW95" s="1"/>
      <c r="BX95" s="1"/>
    </row>
    <row r="96">
      <c r="A96" s="1"/>
      <c r="B96" s="148" t="str">
        <f t="array" ref="B96">IFERROR(INDEX('DB(読み込みシート※編集厳禁)'!$A$3:$AH$501,MATCH($C96,'DB(読み込みシート※編集厳禁)'!$B$3:$B$501,0),MATCH(B$14,'DB(読み込みシート※編集厳禁)'!$A$2:$AH$2,0)),"")</f>
        <v/>
      </c>
      <c r="C96" s="149">
        <v>80.0</v>
      </c>
      <c r="D96" s="169" t="str">
        <f t="array" ref="D96">IFERROR(INDEX('DB(読み込みシート※編集厳禁)'!$A$3:$AH$501,MATCH($C96,'DB(読み込みシート※編集厳禁)'!$B$3:$B$501,0),MATCH(D$14,'DB(読み込みシート※編集厳禁)'!$A$2:$AH$2,0)),"")</f>
        <v/>
      </c>
      <c r="E96" s="170" t="str">
        <f t="array" ref="E96">IFERROR(INDEX('DB(読み込みシート※編集厳禁)'!$A$3:$AH$501,MATCH($C96,'DB(読み込みシート※編集厳禁)'!$B$3:$B$501,0),MATCH(E$14,'DB(読み込みシート※編集厳禁)'!$A$2:$AH$2,0)),"")</f>
        <v/>
      </c>
      <c r="F96" s="171" t="str">
        <f t="array" ref="F96">IFERROR(INDEX('DB(読み込みシート※編集厳禁)'!$A$3:$AH$501,MATCH($C96,'DB(読み込みシート※編集厳禁)'!$B$3:$B$501,0),MATCH(F$14,'DB(読み込みシート※編集厳禁)'!$A$2:$AH$2,0)),"")</f>
        <v/>
      </c>
      <c r="G96" s="133" t="str">
        <f t="shared" si="8"/>
        <v/>
      </c>
      <c r="H96" s="152" t="str">
        <f t="shared" si="9"/>
        <v>:00:000</v>
      </c>
      <c r="I96" s="135"/>
      <c r="J96" s="166"/>
      <c r="K96" s="137" t="s">
        <v>15</v>
      </c>
      <c r="L96" s="138" t="str">
        <f t="shared" si="10"/>
        <v/>
      </c>
      <c r="M96" s="139" t="str">
        <f t="shared" si="11"/>
        <v/>
      </c>
      <c r="N96" s="140" t="str">
        <f t="shared" si="12"/>
        <v/>
      </c>
      <c r="O96" s="141" t="str">
        <f t="shared" si="13"/>
        <v/>
      </c>
      <c r="P96" s="162" t="str">
        <f t="shared" si="14"/>
        <v>:00:000</v>
      </c>
      <c r="Q96" s="148" t="str">
        <f t="array" ref="Q96">IFERROR(INDEX('DB(読み込みシート※編集厳禁)'!$A$3:$AH$501,MATCH($C96,'DB(読み込みシート※編集厳禁)'!$B$3:$B$501,0),MATCH(Q$14,'DB(読み込みシート※編集厳禁)'!$A$2:$AH$2,0)),"")</f>
        <v/>
      </c>
      <c r="R96" s="149">
        <v>80.0</v>
      </c>
      <c r="S96" s="169" t="str">
        <f t="array" ref="S96">IFERROR(INDEX('DB(読み込みシート※編集厳禁)'!$A$3:$AH$501,MATCH($C96,'DB(読み込みシート※編集厳禁)'!$B$3:$B$501,0),MATCH(S$14,'DB(読み込みシート※編集厳禁)'!$A$2:$AH$2,0)),"")</f>
        <v/>
      </c>
      <c r="T96" s="170" t="str">
        <f t="array" ref="T96">IFERROR(INDEX('DB(読み込みシート※編集厳禁)'!$A$3:$AH$501,MATCH($C96,'DB(読み込みシート※編集厳禁)'!$B$3:$B$501,0),MATCH(T$14,'DB(読み込みシート※編集厳禁)'!$A$2:$AH$2,0)),"")</f>
        <v/>
      </c>
      <c r="U96" s="135"/>
      <c r="V96" s="166"/>
      <c r="W96" s="137" t="s">
        <v>15</v>
      </c>
      <c r="X96" s="138" t="str">
        <f t="shared" si="15"/>
        <v/>
      </c>
      <c r="Y96" s="139" t="str">
        <f t="shared" si="16"/>
        <v/>
      </c>
      <c r="Z96" s="144" t="str">
        <f t="shared" si="17"/>
        <v/>
      </c>
      <c r="AA96" s="1"/>
      <c r="AB96" s="6"/>
      <c r="AC96" s="6"/>
      <c r="AD96" s="6"/>
      <c r="AE96" s="6"/>
      <c r="AF96" s="6"/>
      <c r="AG96" s="6" t="str">
        <f t="shared" si="18"/>
        <v/>
      </c>
      <c r="AH96" s="6" t="str">
        <f t="shared" si="19"/>
        <v/>
      </c>
      <c r="AI96" s="6" t="str">
        <f t="shared" si="20"/>
        <v>-</v>
      </c>
      <c r="AJ96" s="6"/>
      <c r="AK96" s="6" t="str">
        <f t="shared" si="21"/>
        <v/>
      </c>
      <c r="AL96" s="6"/>
      <c r="AM96" s="6"/>
      <c r="AN96" s="6"/>
      <c r="AO96" s="6"/>
      <c r="AP96" s="6"/>
      <c r="AQ96" s="7"/>
      <c r="AR96" s="69"/>
      <c r="AS96" s="69"/>
      <c r="AT96" s="39">
        <v>80.0</v>
      </c>
      <c r="AU96" s="69" t="str">
        <f t="array" ref="AU96">IFERROR(INDEX('DB(読み込みシート※編集厳禁)'!$A$3:$AH$501,MATCH($C96,'DB(読み込みシート※編集厳禁)'!$B$3:$B$501,0),MATCH(AU$16,'DB(読み込みシート※編集厳禁)'!$A$2:$AH$2,0)),"")</f>
        <v/>
      </c>
      <c r="AV96" s="69" t="str">
        <f t="array" ref="AV96">IFERROR(INDEX('DB(読み込みシート※編集厳禁)'!$A$3:$AH$501,MATCH($C96,'DB(読み込みシート※編集厳禁)'!$B$3:$B$501,0),MATCH(AV$16,'DB(読み込みシート※編集厳禁)'!$A$2:$AH$2,0)),"")</f>
        <v/>
      </c>
      <c r="AW96" s="69" t="str">
        <f t="shared" si="22"/>
        <v/>
      </c>
      <c r="AX96" s="69" t="str">
        <f t="shared" si="23"/>
        <v/>
      </c>
      <c r="AY96" s="69" t="str">
        <f t="shared" si="24"/>
        <v/>
      </c>
      <c r="AZ96" s="69" t="str">
        <f t="shared" si="25"/>
        <v/>
      </c>
      <c r="BA96" s="69" t="str">
        <f t="shared" si="26"/>
        <v/>
      </c>
      <c r="BB96" s="69" t="str">
        <f t="shared" si="27"/>
        <v/>
      </c>
      <c r="BC96" s="69" t="str">
        <f t="shared" si="28"/>
        <v/>
      </c>
      <c r="BD96" s="70" t="str">
        <f t="shared" si="29"/>
        <v/>
      </c>
      <c r="BE96" s="70" t="str">
        <f t="shared" si="30"/>
        <v/>
      </c>
      <c r="BF96" s="1" t="str">
        <f t="shared" si="31"/>
        <v/>
      </c>
      <c r="BG96" s="1" t="str">
        <f t="shared" si="32"/>
        <v/>
      </c>
      <c r="BH96" s="1" t="str">
        <f t="shared" si="33"/>
        <v/>
      </c>
      <c r="BI96" s="1" t="str">
        <f t="shared" si="34"/>
        <v/>
      </c>
      <c r="BJ96" s="1" t="str">
        <f t="shared" si="35"/>
        <v/>
      </c>
      <c r="BK96" s="1" t="str">
        <f t="shared" si="36"/>
        <v/>
      </c>
      <c r="BL96" s="1" t="str">
        <f t="shared" si="37"/>
        <v/>
      </c>
      <c r="BM96" s="1" t="str">
        <f t="shared" si="38"/>
        <v/>
      </c>
      <c r="BN96" s="1" t="str">
        <f t="shared" si="39"/>
        <v/>
      </c>
      <c r="BO96" s="1" t="str">
        <f t="shared" si="40"/>
        <v/>
      </c>
      <c r="BP96" s="1" t="str">
        <f t="shared" si="41"/>
        <v/>
      </c>
      <c r="BQ96" s="1" t="str">
        <f t="shared" si="42"/>
        <v/>
      </c>
      <c r="BR96" s="1" t="str">
        <f t="shared" si="43"/>
        <v/>
      </c>
      <c r="BS96" s="1" t="str">
        <f t="shared" si="44"/>
        <v/>
      </c>
      <c r="BT96" s="1"/>
      <c r="BU96" s="1"/>
      <c r="BV96" s="1"/>
      <c r="BW96" s="1"/>
      <c r="BX96" s="1"/>
    </row>
    <row r="97">
      <c r="A97" s="1"/>
      <c r="B97" s="148" t="str">
        <f t="array" ref="B97">IFERROR(INDEX('DB(読み込みシート※編集厳禁)'!$A$3:$AH$501,MATCH($C97,'DB(読み込みシート※編集厳禁)'!$B$3:$B$501,0),MATCH(B$14,'DB(読み込みシート※編集厳禁)'!$A$2:$AH$2,0)),"")</f>
        <v/>
      </c>
      <c r="C97" s="149">
        <v>81.0</v>
      </c>
      <c r="D97" s="169" t="str">
        <f t="array" ref="D97">IFERROR(INDEX('DB(読み込みシート※編集厳禁)'!$A$3:$AH$501,MATCH($C97,'DB(読み込みシート※編集厳禁)'!$B$3:$B$501,0),MATCH(D$14,'DB(読み込みシート※編集厳禁)'!$A$2:$AH$2,0)),"")</f>
        <v/>
      </c>
      <c r="E97" s="170" t="str">
        <f t="array" ref="E97">IFERROR(INDEX('DB(読み込みシート※編集厳禁)'!$A$3:$AH$501,MATCH($C97,'DB(読み込みシート※編集厳禁)'!$B$3:$B$501,0),MATCH(E$14,'DB(読み込みシート※編集厳禁)'!$A$2:$AH$2,0)),"")</f>
        <v/>
      </c>
      <c r="F97" s="171" t="str">
        <f t="array" ref="F97">IFERROR(INDEX('DB(読み込みシート※編集厳禁)'!$A$3:$AH$501,MATCH($C97,'DB(読み込みシート※編集厳禁)'!$B$3:$B$501,0),MATCH(F$14,'DB(読み込みシート※編集厳禁)'!$A$2:$AH$2,0)),"")</f>
        <v/>
      </c>
      <c r="G97" s="133" t="str">
        <f t="shared" si="8"/>
        <v/>
      </c>
      <c r="H97" s="152" t="str">
        <f t="shared" si="9"/>
        <v>:00:000</v>
      </c>
      <c r="I97" s="135"/>
      <c r="J97" s="166"/>
      <c r="K97" s="137" t="s">
        <v>15</v>
      </c>
      <c r="L97" s="138" t="str">
        <f t="shared" si="10"/>
        <v/>
      </c>
      <c r="M97" s="139" t="str">
        <f t="shared" si="11"/>
        <v/>
      </c>
      <c r="N97" s="140" t="str">
        <f t="shared" si="12"/>
        <v/>
      </c>
      <c r="O97" s="141" t="str">
        <f t="shared" si="13"/>
        <v/>
      </c>
      <c r="P97" s="162" t="str">
        <f t="shared" si="14"/>
        <v>:00:000</v>
      </c>
      <c r="Q97" s="148" t="str">
        <f t="array" ref="Q97">IFERROR(INDEX('DB(読み込みシート※編集厳禁)'!$A$3:$AH$501,MATCH($C97,'DB(読み込みシート※編集厳禁)'!$B$3:$B$501,0),MATCH(Q$14,'DB(読み込みシート※編集厳禁)'!$A$2:$AH$2,0)),"")</f>
        <v/>
      </c>
      <c r="R97" s="149">
        <v>81.0</v>
      </c>
      <c r="S97" s="169" t="str">
        <f t="array" ref="S97">IFERROR(INDEX('DB(読み込みシート※編集厳禁)'!$A$3:$AH$501,MATCH($C97,'DB(読み込みシート※編集厳禁)'!$B$3:$B$501,0),MATCH(S$14,'DB(読み込みシート※編集厳禁)'!$A$2:$AH$2,0)),"")</f>
        <v/>
      </c>
      <c r="T97" s="170" t="str">
        <f t="array" ref="T97">IFERROR(INDEX('DB(読み込みシート※編集厳禁)'!$A$3:$AH$501,MATCH($C97,'DB(読み込みシート※編集厳禁)'!$B$3:$B$501,0),MATCH(T$14,'DB(読み込みシート※編集厳禁)'!$A$2:$AH$2,0)),"")</f>
        <v/>
      </c>
      <c r="U97" s="135"/>
      <c r="V97" s="166"/>
      <c r="W97" s="137" t="s">
        <v>15</v>
      </c>
      <c r="X97" s="138" t="str">
        <f t="shared" si="15"/>
        <v/>
      </c>
      <c r="Y97" s="139" t="str">
        <f t="shared" si="16"/>
        <v/>
      </c>
      <c r="Z97" s="144" t="str">
        <f t="shared" si="17"/>
        <v/>
      </c>
      <c r="AA97" s="1"/>
      <c r="AB97" s="6"/>
      <c r="AC97" s="6"/>
      <c r="AD97" s="6"/>
      <c r="AE97" s="6"/>
      <c r="AF97" s="6"/>
      <c r="AG97" s="6" t="str">
        <f t="shared" si="18"/>
        <v/>
      </c>
      <c r="AH97" s="6" t="str">
        <f t="shared" si="19"/>
        <v/>
      </c>
      <c r="AI97" s="6" t="str">
        <f t="shared" si="20"/>
        <v>-</v>
      </c>
      <c r="AJ97" s="6"/>
      <c r="AK97" s="6" t="str">
        <f t="shared" si="21"/>
        <v/>
      </c>
      <c r="AL97" s="6"/>
      <c r="AM97" s="6"/>
      <c r="AN97" s="6"/>
      <c r="AO97" s="6"/>
      <c r="AP97" s="6"/>
      <c r="AQ97" s="7"/>
      <c r="AR97" s="69"/>
      <c r="AS97" s="69"/>
      <c r="AT97" s="39">
        <v>81.0</v>
      </c>
      <c r="AU97" s="69" t="str">
        <f t="array" ref="AU97">IFERROR(INDEX('DB(読み込みシート※編集厳禁)'!$A$3:$AH$501,MATCH($C97,'DB(読み込みシート※編集厳禁)'!$B$3:$B$501,0),MATCH(AU$16,'DB(読み込みシート※編集厳禁)'!$A$2:$AH$2,0)),"")</f>
        <v/>
      </c>
      <c r="AV97" s="69" t="str">
        <f t="array" ref="AV97">IFERROR(INDEX('DB(読み込みシート※編集厳禁)'!$A$3:$AH$501,MATCH($C97,'DB(読み込みシート※編集厳禁)'!$B$3:$B$501,0),MATCH(AV$16,'DB(読み込みシート※編集厳禁)'!$A$2:$AH$2,0)),"")</f>
        <v/>
      </c>
      <c r="AW97" s="69" t="str">
        <f t="shared" si="22"/>
        <v/>
      </c>
      <c r="AX97" s="69" t="str">
        <f t="shared" si="23"/>
        <v/>
      </c>
      <c r="AY97" s="69" t="str">
        <f t="shared" si="24"/>
        <v/>
      </c>
      <c r="AZ97" s="69" t="str">
        <f t="shared" si="25"/>
        <v/>
      </c>
      <c r="BA97" s="69" t="str">
        <f t="shared" si="26"/>
        <v/>
      </c>
      <c r="BB97" s="69" t="str">
        <f t="shared" si="27"/>
        <v/>
      </c>
      <c r="BC97" s="69" t="str">
        <f t="shared" si="28"/>
        <v/>
      </c>
      <c r="BD97" s="70" t="str">
        <f t="shared" si="29"/>
        <v/>
      </c>
      <c r="BE97" s="70" t="str">
        <f t="shared" si="30"/>
        <v/>
      </c>
      <c r="BF97" s="1" t="str">
        <f t="shared" si="31"/>
        <v/>
      </c>
      <c r="BG97" s="1" t="str">
        <f t="shared" si="32"/>
        <v/>
      </c>
      <c r="BH97" s="1" t="str">
        <f t="shared" si="33"/>
        <v/>
      </c>
      <c r="BI97" s="1" t="str">
        <f t="shared" si="34"/>
        <v/>
      </c>
      <c r="BJ97" s="1" t="str">
        <f t="shared" si="35"/>
        <v/>
      </c>
      <c r="BK97" s="1" t="str">
        <f t="shared" si="36"/>
        <v/>
      </c>
      <c r="BL97" s="1" t="str">
        <f t="shared" si="37"/>
        <v/>
      </c>
      <c r="BM97" s="1" t="str">
        <f t="shared" si="38"/>
        <v/>
      </c>
      <c r="BN97" s="1" t="str">
        <f t="shared" si="39"/>
        <v/>
      </c>
      <c r="BO97" s="1" t="str">
        <f t="shared" si="40"/>
        <v/>
      </c>
      <c r="BP97" s="1" t="str">
        <f t="shared" si="41"/>
        <v/>
      </c>
      <c r="BQ97" s="1" t="str">
        <f t="shared" si="42"/>
        <v/>
      </c>
      <c r="BR97" s="1" t="str">
        <f t="shared" si="43"/>
        <v/>
      </c>
      <c r="BS97" s="1" t="str">
        <f t="shared" si="44"/>
        <v/>
      </c>
      <c r="BT97" s="1"/>
      <c r="BU97" s="1"/>
      <c r="BV97" s="1"/>
      <c r="BW97" s="1"/>
      <c r="BX97" s="1"/>
    </row>
    <row r="98">
      <c r="A98" s="1"/>
      <c r="B98" s="148" t="str">
        <f t="array" ref="B98">IFERROR(INDEX('DB(読み込みシート※編集厳禁)'!$A$3:$AH$501,MATCH($C98,'DB(読み込みシート※編集厳禁)'!$B$3:$B$501,0),MATCH(B$14,'DB(読み込みシート※編集厳禁)'!$A$2:$AH$2,0)),"")</f>
        <v/>
      </c>
      <c r="C98" s="149">
        <v>82.0</v>
      </c>
      <c r="D98" s="169" t="str">
        <f t="array" ref="D98">IFERROR(INDEX('DB(読み込みシート※編集厳禁)'!$A$3:$AH$501,MATCH($C98,'DB(読み込みシート※編集厳禁)'!$B$3:$B$501,0),MATCH(D$14,'DB(読み込みシート※編集厳禁)'!$A$2:$AH$2,0)),"")</f>
        <v/>
      </c>
      <c r="E98" s="170" t="str">
        <f t="array" ref="E98">IFERROR(INDEX('DB(読み込みシート※編集厳禁)'!$A$3:$AH$501,MATCH($C98,'DB(読み込みシート※編集厳禁)'!$B$3:$B$501,0),MATCH(E$14,'DB(読み込みシート※編集厳禁)'!$A$2:$AH$2,0)),"")</f>
        <v/>
      </c>
      <c r="F98" s="171" t="str">
        <f t="array" ref="F98">IFERROR(INDEX('DB(読み込みシート※編集厳禁)'!$A$3:$AH$501,MATCH($C98,'DB(読み込みシート※編集厳禁)'!$B$3:$B$501,0),MATCH(F$14,'DB(読み込みシート※編集厳禁)'!$A$2:$AH$2,0)),"")</f>
        <v/>
      </c>
      <c r="G98" s="133" t="str">
        <f t="shared" si="8"/>
        <v/>
      </c>
      <c r="H98" s="152" t="str">
        <f t="shared" si="9"/>
        <v>:00:000</v>
      </c>
      <c r="I98" s="135"/>
      <c r="J98" s="166"/>
      <c r="K98" s="137" t="s">
        <v>15</v>
      </c>
      <c r="L98" s="138" t="str">
        <f t="shared" si="10"/>
        <v/>
      </c>
      <c r="M98" s="139" t="str">
        <f t="shared" si="11"/>
        <v/>
      </c>
      <c r="N98" s="140" t="str">
        <f t="shared" si="12"/>
        <v/>
      </c>
      <c r="O98" s="141" t="str">
        <f t="shared" si="13"/>
        <v/>
      </c>
      <c r="P98" s="162" t="str">
        <f t="shared" si="14"/>
        <v>:00:000</v>
      </c>
      <c r="Q98" s="148" t="str">
        <f t="array" ref="Q98">IFERROR(INDEX('DB(読み込みシート※編集厳禁)'!$A$3:$AH$501,MATCH($C98,'DB(読み込みシート※編集厳禁)'!$B$3:$B$501,0),MATCH(Q$14,'DB(読み込みシート※編集厳禁)'!$A$2:$AH$2,0)),"")</f>
        <v/>
      </c>
      <c r="R98" s="149">
        <v>82.0</v>
      </c>
      <c r="S98" s="169" t="str">
        <f t="array" ref="S98">IFERROR(INDEX('DB(読み込みシート※編集厳禁)'!$A$3:$AH$501,MATCH($C98,'DB(読み込みシート※編集厳禁)'!$B$3:$B$501,0),MATCH(S$14,'DB(読み込みシート※編集厳禁)'!$A$2:$AH$2,0)),"")</f>
        <v/>
      </c>
      <c r="T98" s="170" t="str">
        <f t="array" ref="T98">IFERROR(INDEX('DB(読み込みシート※編集厳禁)'!$A$3:$AH$501,MATCH($C98,'DB(読み込みシート※編集厳禁)'!$B$3:$B$501,0),MATCH(T$14,'DB(読み込みシート※編集厳禁)'!$A$2:$AH$2,0)),"")</f>
        <v/>
      </c>
      <c r="U98" s="135"/>
      <c r="V98" s="166"/>
      <c r="W98" s="137" t="s">
        <v>15</v>
      </c>
      <c r="X98" s="138" t="str">
        <f t="shared" si="15"/>
        <v/>
      </c>
      <c r="Y98" s="139" t="str">
        <f t="shared" si="16"/>
        <v/>
      </c>
      <c r="Z98" s="144" t="str">
        <f t="shared" si="17"/>
        <v/>
      </c>
      <c r="AA98" s="1"/>
      <c r="AB98" s="6"/>
      <c r="AC98" s="6"/>
      <c r="AD98" s="6"/>
      <c r="AE98" s="6"/>
      <c r="AF98" s="6"/>
      <c r="AG98" s="6" t="str">
        <f t="shared" si="18"/>
        <v/>
      </c>
      <c r="AH98" s="6" t="str">
        <f t="shared" si="19"/>
        <v/>
      </c>
      <c r="AI98" s="6" t="str">
        <f t="shared" si="20"/>
        <v>-</v>
      </c>
      <c r="AJ98" s="6"/>
      <c r="AK98" s="6" t="str">
        <f t="shared" si="21"/>
        <v/>
      </c>
      <c r="AL98" s="6"/>
      <c r="AM98" s="6"/>
      <c r="AN98" s="6"/>
      <c r="AO98" s="6"/>
      <c r="AP98" s="6"/>
      <c r="AQ98" s="7"/>
      <c r="AR98" s="69"/>
      <c r="AS98" s="69"/>
      <c r="AT98" s="39">
        <v>82.0</v>
      </c>
      <c r="AU98" s="69" t="str">
        <f t="array" ref="AU98">IFERROR(INDEX('DB(読み込みシート※編集厳禁)'!$A$3:$AH$501,MATCH($C98,'DB(読み込みシート※編集厳禁)'!$B$3:$B$501,0),MATCH(AU$16,'DB(読み込みシート※編集厳禁)'!$A$2:$AH$2,0)),"")</f>
        <v/>
      </c>
      <c r="AV98" s="69" t="str">
        <f t="array" ref="AV98">IFERROR(INDEX('DB(読み込みシート※編集厳禁)'!$A$3:$AH$501,MATCH($C98,'DB(読み込みシート※編集厳禁)'!$B$3:$B$501,0),MATCH(AV$16,'DB(読み込みシート※編集厳禁)'!$A$2:$AH$2,0)),"")</f>
        <v/>
      </c>
      <c r="AW98" s="69" t="str">
        <f t="shared" si="22"/>
        <v/>
      </c>
      <c r="AX98" s="69" t="str">
        <f t="shared" si="23"/>
        <v/>
      </c>
      <c r="AY98" s="69" t="str">
        <f t="shared" si="24"/>
        <v/>
      </c>
      <c r="AZ98" s="69" t="str">
        <f t="shared" si="25"/>
        <v/>
      </c>
      <c r="BA98" s="69" t="str">
        <f t="shared" si="26"/>
        <v/>
      </c>
      <c r="BB98" s="69" t="str">
        <f t="shared" si="27"/>
        <v/>
      </c>
      <c r="BC98" s="69" t="str">
        <f t="shared" si="28"/>
        <v/>
      </c>
      <c r="BD98" s="70" t="str">
        <f t="shared" si="29"/>
        <v/>
      </c>
      <c r="BE98" s="70" t="str">
        <f t="shared" si="30"/>
        <v/>
      </c>
      <c r="BF98" s="1" t="str">
        <f t="shared" si="31"/>
        <v/>
      </c>
      <c r="BG98" s="1" t="str">
        <f t="shared" si="32"/>
        <v/>
      </c>
      <c r="BH98" s="1" t="str">
        <f t="shared" si="33"/>
        <v/>
      </c>
      <c r="BI98" s="1" t="str">
        <f t="shared" si="34"/>
        <v/>
      </c>
      <c r="BJ98" s="1" t="str">
        <f t="shared" si="35"/>
        <v/>
      </c>
      <c r="BK98" s="1" t="str">
        <f t="shared" si="36"/>
        <v/>
      </c>
      <c r="BL98" s="1" t="str">
        <f t="shared" si="37"/>
        <v/>
      </c>
      <c r="BM98" s="1" t="str">
        <f t="shared" si="38"/>
        <v/>
      </c>
      <c r="BN98" s="1" t="str">
        <f t="shared" si="39"/>
        <v/>
      </c>
      <c r="BO98" s="1" t="str">
        <f t="shared" si="40"/>
        <v/>
      </c>
      <c r="BP98" s="1" t="str">
        <f t="shared" si="41"/>
        <v/>
      </c>
      <c r="BQ98" s="1" t="str">
        <f t="shared" si="42"/>
        <v/>
      </c>
      <c r="BR98" s="1" t="str">
        <f t="shared" si="43"/>
        <v/>
      </c>
      <c r="BS98" s="1" t="str">
        <f t="shared" si="44"/>
        <v/>
      </c>
      <c r="BT98" s="1"/>
      <c r="BU98" s="1"/>
      <c r="BV98" s="1"/>
      <c r="BW98" s="1"/>
      <c r="BX98" s="1"/>
    </row>
    <row r="99">
      <c r="A99" s="1"/>
      <c r="B99" s="148" t="str">
        <f t="array" ref="B99">IFERROR(INDEX('DB(読み込みシート※編集厳禁)'!$A$3:$AH$501,MATCH($C99,'DB(読み込みシート※編集厳禁)'!$B$3:$B$501,0),MATCH(B$14,'DB(読み込みシート※編集厳禁)'!$A$2:$AH$2,0)),"")</f>
        <v/>
      </c>
      <c r="C99" s="149">
        <v>83.0</v>
      </c>
      <c r="D99" s="169" t="str">
        <f t="array" ref="D99">IFERROR(INDEX('DB(読み込みシート※編集厳禁)'!$A$3:$AH$501,MATCH($C99,'DB(読み込みシート※編集厳禁)'!$B$3:$B$501,0),MATCH(D$14,'DB(読み込みシート※編集厳禁)'!$A$2:$AH$2,0)),"")</f>
        <v/>
      </c>
      <c r="E99" s="170" t="str">
        <f t="array" ref="E99">IFERROR(INDEX('DB(読み込みシート※編集厳禁)'!$A$3:$AH$501,MATCH($C99,'DB(読み込みシート※編集厳禁)'!$B$3:$B$501,0),MATCH(E$14,'DB(読み込みシート※編集厳禁)'!$A$2:$AH$2,0)),"")</f>
        <v/>
      </c>
      <c r="F99" s="171" t="str">
        <f t="array" ref="F99">IFERROR(INDEX('DB(読み込みシート※編集厳禁)'!$A$3:$AH$501,MATCH($C99,'DB(読み込みシート※編集厳禁)'!$B$3:$B$501,0),MATCH(F$14,'DB(読み込みシート※編集厳禁)'!$A$2:$AH$2,0)),"")</f>
        <v/>
      </c>
      <c r="G99" s="133" t="str">
        <f t="shared" si="8"/>
        <v/>
      </c>
      <c r="H99" s="152" t="str">
        <f t="shared" si="9"/>
        <v>:00:000</v>
      </c>
      <c r="I99" s="135"/>
      <c r="J99" s="166"/>
      <c r="K99" s="137" t="s">
        <v>15</v>
      </c>
      <c r="L99" s="138" t="str">
        <f t="shared" si="10"/>
        <v/>
      </c>
      <c r="M99" s="139" t="str">
        <f t="shared" si="11"/>
        <v/>
      </c>
      <c r="N99" s="140" t="str">
        <f t="shared" si="12"/>
        <v/>
      </c>
      <c r="O99" s="141" t="str">
        <f t="shared" si="13"/>
        <v/>
      </c>
      <c r="P99" s="162" t="str">
        <f t="shared" si="14"/>
        <v>:00:000</v>
      </c>
      <c r="Q99" s="148" t="str">
        <f t="array" ref="Q99">IFERROR(INDEX('DB(読み込みシート※編集厳禁)'!$A$3:$AH$501,MATCH($C99,'DB(読み込みシート※編集厳禁)'!$B$3:$B$501,0),MATCH(Q$14,'DB(読み込みシート※編集厳禁)'!$A$2:$AH$2,0)),"")</f>
        <v/>
      </c>
      <c r="R99" s="149">
        <v>83.0</v>
      </c>
      <c r="S99" s="169" t="str">
        <f t="array" ref="S99">IFERROR(INDEX('DB(読み込みシート※編集厳禁)'!$A$3:$AH$501,MATCH($C99,'DB(読み込みシート※編集厳禁)'!$B$3:$B$501,0),MATCH(S$14,'DB(読み込みシート※編集厳禁)'!$A$2:$AH$2,0)),"")</f>
        <v/>
      </c>
      <c r="T99" s="170" t="str">
        <f t="array" ref="T99">IFERROR(INDEX('DB(読み込みシート※編集厳禁)'!$A$3:$AH$501,MATCH($C99,'DB(読み込みシート※編集厳禁)'!$B$3:$B$501,0),MATCH(T$14,'DB(読み込みシート※編集厳禁)'!$A$2:$AH$2,0)),"")</f>
        <v/>
      </c>
      <c r="U99" s="135"/>
      <c r="V99" s="166"/>
      <c r="W99" s="137" t="s">
        <v>15</v>
      </c>
      <c r="X99" s="138" t="str">
        <f t="shared" si="15"/>
        <v/>
      </c>
      <c r="Y99" s="139" t="str">
        <f t="shared" si="16"/>
        <v/>
      </c>
      <c r="Z99" s="144" t="str">
        <f t="shared" si="17"/>
        <v/>
      </c>
      <c r="AA99" s="1"/>
      <c r="AB99" s="6"/>
      <c r="AC99" s="6"/>
      <c r="AD99" s="6"/>
      <c r="AE99" s="6"/>
      <c r="AF99" s="6"/>
      <c r="AG99" s="6" t="str">
        <f t="shared" si="18"/>
        <v/>
      </c>
      <c r="AH99" s="6" t="str">
        <f t="shared" si="19"/>
        <v/>
      </c>
      <c r="AI99" s="6" t="str">
        <f t="shared" si="20"/>
        <v>-</v>
      </c>
      <c r="AJ99" s="6"/>
      <c r="AK99" s="6" t="str">
        <f t="shared" si="21"/>
        <v/>
      </c>
      <c r="AL99" s="6"/>
      <c r="AM99" s="6"/>
      <c r="AN99" s="6"/>
      <c r="AO99" s="6"/>
      <c r="AP99" s="6"/>
      <c r="AQ99" s="7"/>
      <c r="AR99" s="69"/>
      <c r="AS99" s="69"/>
      <c r="AT99" s="39">
        <v>83.0</v>
      </c>
      <c r="AU99" s="69" t="str">
        <f t="array" ref="AU99">IFERROR(INDEX('DB(読み込みシート※編集厳禁)'!$A$3:$AH$501,MATCH($C99,'DB(読み込みシート※編集厳禁)'!$B$3:$B$501,0),MATCH(AU$16,'DB(読み込みシート※編集厳禁)'!$A$2:$AH$2,0)),"")</f>
        <v/>
      </c>
      <c r="AV99" s="69" t="str">
        <f t="array" ref="AV99">IFERROR(INDEX('DB(読み込みシート※編集厳禁)'!$A$3:$AH$501,MATCH($C99,'DB(読み込みシート※編集厳禁)'!$B$3:$B$501,0),MATCH(AV$16,'DB(読み込みシート※編集厳禁)'!$A$2:$AH$2,0)),"")</f>
        <v/>
      </c>
      <c r="AW99" s="69" t="str">
        <f t="shared" si="22"/>
        <v/>
      </c>
      <c r="AX99" s="69" t="str">
        <f t="shared" si="23"/>
        <v/>
      </c>
      <c r="AY99" s="69" t="str">
        <f t="shared" si="24"/>
        <v/>
      </c>
      <c r="AZ99" s="69" t="str">
        <f t="shared" si="25"/>
        <v/>
      </c>
      <c r="BA99" s="69" t="str">
        <f t="shared" si="26"/>
        <v/>
      </c>
      <c r="BB99" s="69" t="str">
        <f t="shared" si="27"/>
        <v/>
      </c>
      <c r="BC99" s="69" t="str">
        <f t="shared" si="28"/>
        <v/>
      </c>
      <c r="BD99" s="70" t="str">
        <f t="shared" si="29"/>
        <v/>
      </c>
      <c r="BE99" s="70" t="str">
        <f t="shared" si="30"/>
        <v/>
      </c>
      <c r="BF99" s="1" t="str">
        <f t="shared" si="31"/>
        <v/>
      </c>
      <c r="BG99" s="1" t="str">
        <f t="shared" si="32"/>
        <v/>
      </c>
      <c r="BH99" s="1" t="str">
        <f t="shared" si="33"/>
        <v/>
      </c>
      <c r="BI99" s="1" t="str">
        <f t="shared" si="34"/>
        <v/>
      </c>
      <c r="BJ99" s="1" t="str">
        <f t="shared" si="35"/>
        <v/>
      </c>
      <c r="BK99" s="1" t="str">
        <f t="shared" si="36"/>
        <v/>
      </c>
      <c r="BL99" s="1" t="str">
        <f t="shared" si="37"/>
        <v/>
      </c>
      <c r="BM99" s="1" t="str">
        <f t="shared" si="38"/>
        <v/>
      </c>
      <c r="BN99" s="1" t="str">
        <f t="shared" si="39"/>
        <v/>
      </c>
      <c r="BO99" s="1" t="str">
        <f t="shared" si="40"/>
        <v/>
      </c>
      <c r="BP99" s="1" t="str">
        <f t="shared" si="41"/>
        <v/>
      </c>
      <c r="BQ99" s="1" t="str">
        <f t="shared" si="42"/>
        <v/>
      </c>
      <c r="BR99" s="1" t="str">
        <f t="shared" si="43"/>
        <v/>
      </c>
      <c r="BS99" s="1" t="str">
        <f t="shared" si="44"/>
        <v/>
      </c>
      <c r="BT99" s="1"/>
      <c r="BU99" s="1"/>
      <c r="BV99" s="1"/>
      <c r="BW99" s="1"/>
      <c r="BX99" s="1"/>
    </row>
    <row r="100">
      <c r="A100" s="1"/>
      <c r="B100" s="148" t="str">
        <f t="array" ref="B100">IFERROR(INDEX('DB(読み込みシート※編集厳禁)'!$A$3:$AH$501,MATCH($C100,'DB(読み込みシート※編集厳禁)'!$B$3:$B$501,0),MATCH(B$14,'DB(読み込みシート※編集厳禁)'!$A$2:$AH$2,0)),"")</f>
        <v/>
      </c>
      <c r="C100" s="149">
        <v>84.0</v>
      </c>
      <c r="D100" s="169" t="str">
        <f t="array" ref="D100">IFERROR(INDEX('DB(読み込みシート※編集厳禁)'!$A$3:$AH$501,MATCH($C100,'DB(読み込みシート※編集厳禁)'!$B$3:$B$501,0),MATCH(D$14,'DB(読み込みシート※編集厳禁)'!$A$2:$AH$2,0)),"")</f>
        <v/>
      </c>
      <c r="E100" s="170" t="str">
        <f t="array" ref="E100">IFERROR(INDEX('DB(読み込みシート※編集厳禁)'!$A$3:$AH$501,MATCH($C100,'DB(読み込みシート※編集厳禁)'!$B$3:$B$501,0),MATCH(E$14,'DB(読み込みシート※編集厳禁)'!$A$2:$AH$2,0)),"")</f>
        <v/>
      </c>
      <c r="F100" s="171" t="str">
        <f t="array" ref="F100">IFERROR(INDEX('DB(読み込みシート※編集厳禁)'!$A$3:$AH$501,MATCH($C100,'DB(読み込みシート※編集厳禁)'!$B$3:$B$501,0),MATCH(F$14,'DB(読み込みシート※編集厳禁)'!$A$2:$AH$2,0)),"")</f>
        <v/>
      </c>
      <c r="G100" s="133" t="str">
        <f t="shared" si="8"/>
        <v/>
      </c>
      <c r="H100" s="152" t="str">
        <f t="shared" si="9"/>
        <v>:00:000</v>
      </c>
      <c r="I100" s="135"/>
      <c r="J100" s="166"/>
      <c r="K100" s="137" t="s">
        <v>15</v>
      </c>
      <c r="L100" s="138" t="str">
        <f t="shared" si="10"/>
        <v/>
      </c>
      <c r="M100" s="139" t="str">
        <f t="shared" si="11"/>
        <v/>
      </c>
      <c r="N100" s="140" t="str">
        <f t="shared" si="12"/>
        <v/>
      </c>
      <c r="O100" s="141" t="str">
        <f t="shared" si="13"/>
        <v/>
      </c>
      <c r="P100" s="162" t="str">
        <f t="shared" si="14"/>
        <v>:00:000</v>
      </c>
      <c r="Q100" s="148" t="str">
        <f t="array" ref="Q100">IFERROR(INDEX('DB(読み込みシート※編集厳禁)'!$A$3:$AH$501,MATCH($C100,'DB(読み込みシート※編集厳禁)'!$B$3:$B$501,0),MATCH(Q$14,'DB(読み込みシート※編集厳禁)'!$A$2:$AH$2,0)),"")</f>
        <v/>
      </c>
      <c r="R100" s="149">
        <v>84.0</v>
      </c>
      <c r="S100" s="169" t="str">
        <f t="array" ref="S100">IFERROR(INDEX('DB(読み込みシート※編集厳禁)'!$A$3:$AH$501,MATCH($C100,'DB(読み込みシート※編集厳禁)'!$B$3:$B$501,0),MATCH(S$14,'DB(読み込みシート※編集厳禁)'!$A$2:$AH$2,0)),"")</f>
        <v/>
      </c>
      <c r="T100" s="170" t="str">
        <f t="array" ref="T100">IFERROR(INDEX('DB(読み込みシート※編集厳禁)'!$A$3:$AH$501,MATCH($C100,'DB(読み込みシート※編集厳禁)'!$B$3:$B$501,0),MATCH(T$14,'DB(読み込みシート※編集厳禁)'!$A$2:$AH$2,0)),"")</f>
        <v/>
      </c>
      <c r="U100" s="135"/>
      <c r="V100" s="166"/>
      <c r="W100" s="137" t="s">
        <v>15</v>
      </c>
      <c r="X100" s="138" t="str">
        <f t="shared" si="15"/>
        <v/>
      </c>
      <c r="Y100" s="139" t="str">
        <f t="shared" si="16"/>
        <v/>
      </c>
      <c r="Z100" s="144" t="str">
        <f t="shared" si="17"/>
        <v/>
      </c>
      <c r="AA100" s="1"/>
      <c r="AB100" s="6"/>
      <c r="AC100" s="6"/>
      <c r="AD100" s="6"/>
      <c r="AE100" s="6"/>
      <c r="AF100" s="6"/>
      <c r="AG100" s="6" t="str">
        <f t="shared" si="18"/>
        <v/>
      </c>
      <c r="AH100" s="6" t="str">
        <f t="shared" si="19"/>
        <v/>
      </c>
      <c r="AI100" s="6" t="str">
        <f t="shared" si="20"/>
        <v>-</v>
      </c>
      <c r="AJ100" s="6"/>
      <c r="AK100" s="6" t="str">
        <f t="shared" si="21"/>
        <v/>
      </c>
      <c r="AL100" s="6"/>
      <c r="AM100" s="6"/>
      <c r="AN100" s="6"/>
      <c r="AO100" s="6"/>
      <c r="AP100" s="6"/>
      <c r="AQ100" s="7"/>
      <c r="AR100" s="69"/>
      <c r="AS100" s="69"/>
      <c r="AT100" s="39">
        <v>84.0</v>
      </c>
      <c r="AU100" s="69" t="str">
        <f t="array" ref="AU100">IFERROR(INDEX('DB(読み込みシート※編集厳禁)'!$A$3:$AH$501,MATCH($C100,'DB(読み込みシート※編集厳禁)'!$B$3:$B$501,0),MATCH(AU$16,'DB(読み込みシート※編集厳禁)'!$A$2:$AH$2,0)),"")</f>
        <v/>
      </c>
      <c r="AV100" s="69" t="str">
        <f t="array" ref="AV100">IFERROR(INDEX('DB(読み込みシート※編集厳禁)'!$A$3:$AH$501,MATCH($C100,'DB(読み込みシート※編集厳禁)'!$B$3:$B$501,0),MATCH(AV$16,'DB(読み込みシート※編集厳禁)'!$A$2:$AH$2,0)),"")</f>
        <v/>
      </c>
      <c r="AW100" s="69" t="str">
        <f t="shared" si="22"/>
        <v/>
      </c>
      <c r="AX100" s="69" t="str">
        <f t="shared" si="23"/>
        <v/>
      </c>
      <c r="AY100" s="69" t="str">
        <f t="shared" si="24"/>
        <v/>
      </c>
      <c r="AZ100" s="69" t="str">
        <f t="shared" si="25"/>
        <v/>
      </c>
      <c r="BA100" s="69" t="str">
        <f t="shared" si="26"/>
        <v/>
      </c>
      <c r="BB100" s="69" t="str">
        <f t="shared" si="27"/>
        <v/>
      </c>
      <c r="BC100" s="69" t="str">
        <f t="shared" si="28"/>
        <v/>
      </c>
      <c r="BD100" s="70" t="str">
        <f t="shared" si="29"/>
        <v/>
      </c>
      <c r="BE100" s="70" t="str">
        <f t="shared" si="30"/>
        <v/>
      </c>
      <c r="BF100" s="1" t="str">
        <f t="shared" si="31"/>
        <v/>
      </c>
      <c r="BG100" s="1" t="str">
        <f t="shared" si="32"/>
        <v/>
      </c>
      <c r="BH100" s="1" t="str">
        <f t="shared" si="33"/>
        <v/>
      </c>
      <c r="BI100" s="1" t="str">
        <f t="shared" si="34"/>
        <v/>
      </c>
      <c r="BJ100" s="1" t="str">
        <f t="shared" si="35"/>
        <v/>
      </c>
      <c r="BK100" s="1" t="str">
        <f t="shared" si="36"/>
        <v/>
      </c>
      <c r="BL100" s="1" t="str">
        <f t="shared" si="37"/>
        <v/>
      </c>
      <c r="BM100" s="1" t="str">
        <f t="shared" si="38"/>
        <v/>
      </c>
      <c r="BN100" s="1" t="str">
        <f t="shared" si="39"/>
        <v/>
      </c>
      <c r="BO100" s="1" t="str">
        <f t="shared" si="40"/>
        <v/>
      </c>
      <c r="BP100" s="1" t="str">
        <f t="shared" si="41"/>
        <v/>
      </c>
      <c r="BQ100" s="1" t="str">
        <f t="shared" si="42"/>
        <v/>
      </c>
      <c r="BR100" s="1" t="str">
        <f t="shared" si="43"/>
        <v/>
      </c>
      <c r="BS100" s="1" t="str">
        <f t="shared" si="44"/>
        <v/>
      </c>
      <c r="BT100" s="1"/>
      <c r="BU100" s="1"/>
      <c r="BV100" s="1"/>
      <c r="BW100" s="1"/>
      <c r="BX100" s="1"/>
    </row>
    <row r="101">
      <c r="A101" s="1"/>
      <c r="B101" s="148" t="str">
        <f t="array" ref="B101">IFERROR(INDEX('DB(読み込みシート※編集厳禁)'!$A$3:$AH$501,MATCH($C101,'DB(読み込みシート※編集厳禁)'!$B$3:$B$501,0),MATCH(B$14,'DB(読み込みシート※編集厳禁)'!$A$2:$AH$2,0)),"")</f>
        <v/>
      </c>
      <c r="C101" s="149">
        <v>85.0</v>
      </c>
      <c r="D101" s="169" t="str">
        <f t="array" ref="D101">IFERROR(INDEX('DB(読み込みシート※編集厳禁)'!$A$3:$AH$501,MATCH($C101,'DB(読み込みシート※編集厳禁)'!$B$3:$B$501,0),MATCH(D$14,'DB(読み込みシート※編集厳禁)'!$A$2:$AH$2,0)),"")</f>
        <v/>
      </c>
      <c r="E101" s="170" t="str">
        <f t="array" ref="E101">IFERROR(INDEX('DB(読み込みシート※編集厳禁)'!$A$3:$AH$501,MATCH($C101,'DB(読み込みシート※編集厳禁)'!$B$3:$B$501,0),MATCH(E$14,'DB(読み込みシート※編集厳禁)'!$A$2:$AH$2,0)),"")</f>
        <v/>
      </c>
      <c r="F101" s="171" t="str">
        <f t="array" ref="F101">IFERROR(INDEX('DB(読み込みシート※編集厳禁)'!$A$3:$AH$501,MATCH($C101,'DB(読み込みシート※編集厳禁)'!$B$3:$B$501,0),MATCH(F$14,'DB(読み込みシート※編集厳禁)'!$A$2:$AH$2,0)),"")</f>
        <v/>
      </c>
      <c r="G101" s="133" t="str">
        <f t="shared" si="8"/>
        <v/>
      </c>
      <c r="H101" s="152" t="str">
        <f t="shared" si="9"/>
        <v>:00:000</v>
      </c>
      <c r="I101" s="135"/>
      <c r="J101" s="166"/>
      <c r="K101" s="137" t="s">
        <v>15</v>
      </c>
      <c r="L101" s="138" t="str">
        <f t="shared" si="10"/>
        <v/>
      </c>
      <c r="M101" s="139" t="str">
        <f t="shared" si="11"/>
        <v/>
      </c>
      <c r="N101" s="140" t="str">
        <f t="shared" si="12"/>
        <v/>
      </c>
      <c r="O101" s="141" t="str">
        <f t="shared" si="13"/>
        <v/>
      </c>
      <c r="P101" s="162" t="str">
        <f t="shared" si="14"/>
        <v>:00:000</v>
      </c>
      <c r="Q101" s="148" t="str">
        <f t="array" ref="Q101">IFERROR(INDEX('DB(読み込みシート※編集厳禁)'!$A$3:$AH$501,MATCH($C101,'DB(読み込みシート※編集厳禁)'!$B$3:$B$501,0),MATCH(Q$14,'DB(読み込みシート※編集厳禁)'!$A$2:$AH$2,0)),"")</f>
        <v/>
      </c>
      <c r="R101" s="149">
        <v>85.0</v>
      </c>
      <c r="S101" s="169" t="str">
        <f t="array" ref="S101">IFERROR(INDEX('DB(読み込みシート※編集厳禁)'!$A$3:$AH$501,MATCH($C101,'DB(読み込みシート※編集厳禁)'!$B$3:$B$501,0),MATCH(S$14,'DB(読み込みシート※編集厳禁)'!$A$2:$AH$2,0)),"")</f>
        <v/>
      </c>
      <c r="T101" s="170" t="str">
        <f t="array" ref="T101">IFERROR(INDEX('DB(読み込みシート※編集厳禁)'!$A$3:$AH$501,MATCH($C101,'DB(読み込みシート※編集厳禁)'!$B$3:$B$501,0),MATCH(T$14,'DB(読み込みシート※編集厳禁)'!$A$2:$AH$2,0)),"")</f>
        <v/>
      </c>
      <c r="U101" s="135"/>
      <c r="V101" s="166"/>
      <c r="W101" s="137" t="s">
        <v>15</v>
      </c>
      <c r="X101" s="138" t="str">
        <f t="shared" si="15"/>
        <v/>
      </c>
      <c r="Y101" s="139" t="str">
        <f t="shared" si="16"/>
        <v/>
      </c>
      <c r="Z101" s="144" t="str">
        <f t="shared" si="17"/>
        <v/>
      </c>
      <c r="AA101" s="1"/>
      <c r="AB101" s="6"/>
      <c r="AC101" s="6"/>
      <c r="AD101" s="6"/>
      <c r="AE101" s="6"/>
      <c r="AF101" s="6"/>
      <c r="AG101" s="6" t="str">
        <f t="shared" si="18"/>
        <v/>
      </c>
      <c r="AH101" s="6" t="str">
        <f t="shared" si="19"/>
        <v/>
      </c>
      <c r="AI101" s="6" t="str">
        <f t="shared" si="20"/>
        <v>-</v>
      </c>
      <c r="AJ101" s="6"/>
      <c r="AK101" s="6" t="str">
        <f t="shared" si="21"/>
        <v/>
      </c>
      <c r="AL101" s="6"/>
      <c r="AM101" s="6"/>
      <c r="AN101" s="6"/>
      <c r="AO101" s="6"/>
      <c r="AP101" s="6"/>
      <c r="AQ101" s="7"/>
      <c r="AR101" s="69"/>
      <c r="AS101" s="69"/>
      <c r="AT101" s="39">
        <v>85.0</v>
      </c>
      <c r="AU101" s="69" t="str">
        <f t="array" ref="AU101">IFERROR(INDEX('DB(読み込みシート※編集厳禁)'!$A$3:$AH$501,MATCH($C101,'DB(読み込みシート※編集厳禁)'!$B$3:$B$501,0),MATCH(AU$16,'DB(読み込みシート※編集厳禁)'!$A$2:$AH$2,0)),"")</f>
        <v/>
      </c>
      <c r="AV101" s="69" t="str">
        <f t="array" ref="AV101">IFERROR(INDEX('DB(読み込みシート※編集厳禁)'!$A$3:$AH$501,MATCH($C101,'DB(読み込みシート※編集厳禁)'!$B$3:$B$501,0),MATCH(AV$16,'DB(読み込みシート※編集厳禁)'!$A$2:$AH$2,0)),"")</f>
        <v/>
      </c>
      <c r="AW101" s="69" t="str">
        <f t="shared" si="22"/>
        <v/>
      </c>
      <c r="AX101" s="69" t="str">
        <f t="shared" si="23"/>
        <v/>
      </c>
      <c r="AY101" s="69" t="str">
        <f t="shared" si="24"/>
        <v/>
      </c>
      <c r="AZ101" s="69" t="str">
        <f t="shared" si="25"/>
        <v/>
      </c>
      <c r="BA101" s="69" t="str">
        <f t="shared" si="26"/>
        <v/>
      </c>
      <c r="BB101" s="69" t="str">
        <f t="shared" si="27"/>
        <v/>
      </c>
      <c r="BC101" s="69" t="str">
        <f t="shared" si="28"/>
        <v/>
      </c>
      <c r="BD101" s="70" t="str">
        <f t="shared" si="29"/>
        <v/>
      </c>
      <c r="BE101" s="70" t="str">
        <f t="shared" si="30"/>
        <v/>
      </c>
      <c r="BF101" s="1" t="str">
        <f t="shared" si="31"/>
        <v/>
      </c>
      <c r="BG101" s="1" t="str">
        <f t="shared" si="32"/>
        <v/>
      </c>
      <c r="BH101" s="1" t="str">
        <f t="shared" si="33"/>
        <v/>
      </c>
      <c r="BI101" s="1" t="str">
        <f t="shared" si="34"/>
        <v/>
      </c>
      <c r="BJ101" s="1" t="str">
        <f t="shared" si="35"/>
        <v/>
      </c>
      <c r="BK101" s="1" t="str">
        <f t="shared" si="36"/>
        <v/>
      </c>
      <c r="BL101" s="1" t="str">
        <f t="shared" si="37"/>
        <v/>
      </c>
      <c r="BM101" s="1" t="str">
        <f t="shared" si="38"/>
        <v/>
      </c>
      <c r="BN101" s="1" t="str">
        <f t="shared" si="39"/>
        <v/>
      </c>
      <c r="BO101" s="1" t="str">
        <f t="shared" si="40"/>
        <v/>
      </c>
      <c r="BP101" s="1" t="str">
        <f t="shared" si="41"/>
        <v/>
      </c>
      <c r="BQ101" s="1" t="str">
        <f t="shared" si="42"/>
        <v/>
      </c>
      <c r="BR101" s="1" t="str">
        <f t="shared" si="43"/>
        <v/>
      </c>
      <c r="BS101" s="1" t="str">
        <f t="shared" si="44"/>
        <v/>
      </c>
      <c r="BT101" s="1"/>
      <c r="BU101" s="1"/>
      <c r="BV101" s="1"/>
      <c r="BW101" s="1"/>
      <c r="BX101" s="1"/>
    </row>
    <row r="102">
      <c r="A102" s="1"/>
      <c r="B102" s="148" t="str">
        <f t="array" ref="B102">IFERROR(INDEX('DB(読み込みシート※編集厳禁)'!$A$3:$AH$501,MATCH($C102,'DB(読み込みシート※編集厳禁)'!$B$3:$B$501,0),MATCH(B$14,'DB(読み込みシート※編集厳禁)'!$A$2:$AH$2,0)),"")</f>
        <v/>
      </c>
      <c r="C102" s="149">
        <v>86.0</v>
      </c>
      <c r="D102" s="169" t="str">
        <f t="array" ref="D102">IFERROR(INDEX('DB(読み込みシート※編集厳禁)'!$A$3:$AH$501,MATCH($C102,'DB(読み込みシート※編集厳禁)'!$B$3:$B$501,0),MATCH(D$14,'DB(読み込みシート※編集厳禁)'!$A$2:$AH$2,0)),"")</f>
        <v/>
      </c>
      <c r="E102" s="170" t="str">
        <f t="array" ref="E102">IFERROR(INDEX('DB(読み込みシート※編集厳禁)'!$A$3:$AH$501,MATCH($C102,'DB(読み込みシート※編集厳禁)'!$B$3:$B$501,0),MATCH(E$14,'DB(読み込みシート※編集厳禁)'!$A$2:$AH$2,0)),"")</f>
        <v/>
      </c>
      <c r="F102" s="171" t="str">
        <f t="array" ref="F102">IFERROR(INDEX('DB(読み込みシート※編集厳禁)'!$A$3:$AH$501,MATCH($C102,'DB(読み込みシート※編集厳禁)'!$B$3:$B$501,0),MATCH(F$14,'DB(読み込みシート※編集厳禁)'!$A$2:$AH$2,0)),"")</f>
        <v/>
      </c>
      <c r="G102" s="133" t="str">
        <f t="shared" si="8"/>
        <v/>
      </c>
      <c r="H102" s="152" t="str">
        <f t="shared" si="9"/>
        <v>:00:000</v>
      </c>
      <c r="I102" s="135"/>
      <c r="J102" s="166"/>
      <c r="K102" s="137" t="s">
        <v>15</v>
      </c>
      <c r="L102" s="138" t="str">
        <f t="shared" si="10"/>
        <v/>
      </c>
      <c r="M102" s="139" t="str">
        <f t="shared" si="11"/>
        <v/>
      </c>
      <c r="N102" s="140" t="str">
        <f t="shared" si="12"/>
        <v/>
      </c>
      <c r="O102" s="141" t="str">
        <f t="shared" si="13"/>
        <v/>
      </c>
      <c r="P102" s="162" t="str">
        <f t="shared" si="14"/>
        <v>:00:000</v>
      </c>
      <c r="Q102" s="148" t="str">
        <f t="array" ref="Q102">IFERROR(INDEX('DB(読み込みシート※編集厳禁)'!$A$3:$AH$501,MATCH($C102,'DB(読み込みシート※編集厳禁)'!$B$3:$B$501,0),MATCH(Q$14,'DB(読み込みシート※編集厳禁)'!$A$2:$AH$2,0)),"")</f>
        <v/>
      </c>
      <c r="R102" s="149">
        <v>86.0</v>
      </c>
      <c r="S102" s="169" t="str">
        <f t="array" ref="S102">IFERROR(INDEX('DB(読み込みシート※編集厳禁)'!$A$3:$AH$501,MATCH($C102,'DB(読み込みシート※編集厳禁)'!$B$3:$B$501,0),MATCH(S$14,'DB(読み込みシート※編集厳禁)'!$A$2:$AH$2,0)),"")</f>
        <v/>
      </c>
      <c r="T102" s="170" t="str">
        <f t="array" ref="T102">IFERROR(INDEX('DB(読み込みシート※編集厳禁)'!$A$3:$AH$501,MATCH($C102,'DB(読み込みシート※編集厳禁)'!$B$3:$B$501,0),MATCH(T$14,'DB(読み込みシート※編集厳禁)'!$A$2:$AH$2,0)),"")</f>
        <v/>
      </c>
      <c r="U102" s="135"/>
      <c r="V102" s="166"/>
      <c r="W102" s="137" t="s">
        <v>15</v>
      </c>
      <c r="X102" s="138" t="str">
        <f t="shared" si="15"/>
        <v/>
      </c>
      <c r="Y102" s="139" t="str">
        <f t="shared" si="16"/>
        <v/>
      </c>
      <c r="Z102" s="144" t="str">
        <f t="shared" si="17"/>
        <v/>
      </c>
      <c r="AA102" s="1"/>
      <c r="AB102" s="6"/>
      <c r="AC102" s="6"/>
      <c r="AD102" s="6"/>
      <c r="AE102" s="6"/>
      <c r="AF102" s="6"/>
      <c r="AG102" s="6" t="str">
        <f t="shared" si="18"/>
        <v/>
      </c>
      <c r="AH102" s="6" t="str">
        <f t="shared" si="19"/>
        <v/>
      </c>
      <c r="AI102" s="6" t="str">
        <f t="shared" si="20"/>
        <v>-</v>
      </c>
      <c r="AJ102" s="6"/>
      <c r="AK102" s="6" t="str">
        <f t="shared" si="21"/>
        <v/>
      </c>
      <c r="AL102" s="6"/>
      <c r="AM102" s="6"/>
      <c r="AN102" s="6"/>
      <c r="AO102" s="6"/>
      <c r="AP102" s="6"/>
      <c r="AQ102" s="7"/>
      <c r="AR102" s="69"/>
      <c r="AS102" s="69"/>
      <c r="AT102" s="39">
        <v>86.0</v>
      </c>
      <c r="AU102" s="69" t="str">
        <f t="array" ref="AU102">IFERROR(INDEX('DB(読み込みシート※編集厳禁)'!$A$3:$AH$501,MATCH($C102,'DB(読み込みシート※編集厳禁)'!$B$3:$B$501,0),MATCH(AU$16,'DB(読み込みシート※編集厳禁)'!$A$2:$AH$2,0)),"")</f>
        <v/>
      </c>
      <c r="AV102" s="69" t="str">
        <f t="array" ref="AV102">IFERROR(INDEX('DB(読み込みシート※編集厳禁)'!$A$3:$AH$501,MATCH($C102,'DB(読み込みシート※編集厳禁)'!$B$3:$B$501,0),MATCH(AV$16,'DB(読み込みシート※編集厳禁)'!$A$2:$AH$2,0)),"")</f>
        <v/>
      </c>
      <c r="AW102" s="69" t="str">
        <f t="shared" si="22"/>
        <v/>
      </c>
      <c r="AX102" s="69" t="str">
        <f t="shared" si="23"/>
        <v/>
      </c>
      <c r="AY102" s="69" t="str">
        <f t="shared" si="24"/>
        <v/>
      </c>
      <c r="AZ102" s="69" t="str">
        <f t="shared" si="25"/>
        <v/>
      </c>
      <c r="BA102" s="69" t="str">
        <f t="shared" si="26"/>
        <v/>
      </c>
      <c r="BB102" s="69" t="str">
        <f t="shared" si="27"/>
        <v/>
      </c>
      <c r="BC102" s="69" t="str">
        <f t="shared" si="28"/>
        <v/>
      </c>
      <c r="BD102" s="70" t="str">
        <f t="shared" si="29"/>
        <v/>
      </c>
      <c r="BE102" s="70" t="str">
        <f t="shared" si="30"/>
        <v/>
      </c>
      <c r="BF102" s="1" t="str">
        <f t="shared" si="31"/>
        <v/>
      </c>
      <c r="BG102" s="1" t="str">
        <f t="shared" si="32"/>
        <v/>
      </c>
      <c r="BH102" s="1" t="str">
        <f t="shared" si="33"/>
        <v/>
      </c>
      <c r="BI102" s="1" t="str">
        <f t="shared" si="34"/>
        <v/>
      </c>
      <c r="BJ102" s="1" t="str">
        <f t="shared" si="35"/>
        <v/>
      </c>
      <c r="BK102" s="1" t="str">
        <f t="shared" si="36"/>
        <v/>
      </c>
      <c r="BL102" s="1" t="str">
        <f t="shared" si="37"/>
        <v/>
      </c>
      <c r="BM102" s="1" t="str">
        <f t="shared" si="38"/>
        <v/>
      </c>
      <c r="BN102" s="1" t="str">
        <f t="shared" si="39"/>
        <v/>
      </c>
      <c r="BO102" s="1" t="str">
        <f t="shared" si="40"/>
        <v/>
      </c>
      <c r="BP102" s="1" t="str">
        <f t="shared" si="41"/>
        <v/>
      </c>
      <c r="BQ102" s="1" t="str">
        <f t="shared" si="42"/>
        <v/>
      </c>
      <c r="BR102" s="1" t="str">
        <f t="shared" si="43"/>
        <v/>
      </c>
      <c r="BS102" s="1" t="str">
        <f t="shared" si="44"/>
        <v/>
      </c>
      <c r="BT102" s="1"/>
      <c r="BU102" s="1"/>
      <c r="BV102" s="1"/>
      <c r="BW102" s="1"/>
      <c r="BX102" s="1"/>
    </row>
    <row r="103">
      <c r="A103" s="1"/>
      <c r="B103" s="148" t="str">
        <f t="array" ref="B103">IFERROR(INDEX('DB(読み込みシート※編集厳禁)'!$A$3:$AH$501,MATCH($C103,'DB(読み込みシート※編集厳禁)'!$B$3:$B$501,0),MATCH(B$14,'DB(読み込みシート※編集厳禁)'!$A$2:$AH$2,0)),"")</f>
        <v/>
      </c>
      <c r="C103" s="149">
        <v>87.0</v>
      </c>
      <c r="D103" s="169" t="str">
        <f t="array" ref="D103">IFERROR(INDEX('DB(読み込みシート※編集厳禁)'!$A$3:$AH$501,MATCH($C103,'DB(読み込みシート※編集厳禁)'!$B$3:$B$501,0),MATCH(D$14,'DB(読み込みシート※編集厳禁)'!$A$2:$AH$2,0)),"")</f>
        <v/>
      </c>
      <c r="E103" s="170" t="str">
        <f t="array" ref="E103">IFERROR(INDEX('DB(読み込みシート※編集厳禁)'!$A$3:$AH$501,MATCH($C103,'DB(読み込みシート※編集厳禁)'!$B$3:$B$501,0),MATCH(E$14,'DB(読み込みシート※編集厳禁)'!$A$2:$AH$2,0)),"")</f>
        <v/>
      </c>
      <c r="F103" s="171" t="str">
        <f t="array" ref="F103">IFERROR(INDEX('DB(読み込みシート※編集厳禁)'!$A$3:$AH$501,MATCH($C103,'DB(読み込みシート※編集厳禁)'!$B$3:$B$501,0),MATCH(F$14,'DB(読み込みシート※編集厳禁)'!$A$2:$AH$2,0)),"")</f>
        <v/>
      </c>
      <c r="G103" s="133" t="str">
        <f t="shared" si="8"/>
        <v/>
      </c>
      <c r="H103" s="152" t="str">
        <f t="shared" si="9"/>
        <v>:00:000</v>
      </c>
      <c r="I103" s="135"/>
      <c r="J103" s="166"/>
      <c r="K103" s="137" t="s">
        <v>15</v>
      </c>
      <c r="L103" s="138" t="str">
        <f t="shared" si="10"/>
        <v/>
      </c>
      <c r="M103" s="139" t="str">
        <f t="shared" si="11"/>
        <v/>
      </c>
      <c r="N103" s="140" t="str">
        <f t="shared" si="12"/>
        <v/>
      </c>
      <c r="O103" s="141" t="str">
        <f t="shared" si="13"/>
        <v/>
      </c>
      <c r="P103" s="162" t="str">
        <f t="shared" si="14"/>
        <v>:00:000</v>
      </c>
      <c r="Q103" s="148" t="str">
        <f t="array" ref="Q103">IFERROR(INDEX('DB(読み込みシート※編集厳禁)'!$A$3:$AH$501,MATCH($C103,'DB(読み込みシート※編集厳禁)'!$B$3:$B$501,0),MATCH(Q$14,'DB(読み込みシート※編集厳禁)'!$A$2:$AH$2,0)),"")</f>
        <v/>
      </c>
      <c r="R103" s="149">
        <v>87.0</v>
      </c>
      <c r="S103" s="169" t="str">
        <f t="array" ref="S103">IFERROR(INDEX('DB(読み込みシート※編集厳禁)'!$A$3:$AH$501,MATCH($C103,'DB(読み込みシート※編集厳禁)'!$B$3:$B$501,0),MATCH(S$14,'DB(読み込みシート※編集厳禁)'!$A$2:$AH$2,0)),"")</f>
        <v/>
      </c>
      <c r="T103" s="170" t="str">
        <f t="array" ref="T103">IFERROR(INDEX('DB(読み込みシート※編集厳禁)'!$A$3:$AH$501,MATCH($C103,'DB(読み込みシート※編集厳禁)'!$B$3:$B$501,0),MATCH(T$14,'DB(読み込みシート※編集厳禁)'!$A$2:$AH$2,0)),"")</f>
        <v/>
      </c>
      <c r="U103" s="135"/>
      <c r="V103" s="166"/>
      <c r="W103" s="137" t="s">
        <v>15</v>
      </c>
      <c r="X103" s="138" t="str">
        <f t="shared" si="15"/>
        <v/>
      </c>
      <c r="Y103" s="139" t="str">
        <f t="shared" si="16"/>
        <v/>
      </c>
      <c r="Z103" s="144" t="str">
        <f t="shared" si="17"/>
        <v/>
      </c>
      <c r="AA103" s="1"/>
      <c r="AB103" s="6"/>
      <c r="AC103" s="6"/>
      <c r="AD103" s="6"/>
      <c r="AE103" s="6"/>
      <c r="AF103" s="6"/>
      <c r="AG103" s="6" t="str">
        <f t="shared" si="18"/>
        <v/>
      </c>
      <c r="AH103" s="6" t="str">
        <f t="shared" si="19"/>
        <v/>
      </c>
      <c r="AI103" s="6" t="str">
        <f t="shared" si="20"/>
        <v>-</v>
      </c>
      <c r="AJ103" s="6"/>
      <c r="AK103" s="6" t="str">
        <f t="shared" si="21"/>
        <v/>
      </c>
      <c r="AL103" s="6"/>
      <c r="AM103" s="6"/>
      <c r="AN103" s="6"/>
      <c r="AO103" s="6"/>
      <c r="AP103" s="6"/>
      <c r="AQ103" s="7"/>
      <c r="AR103" s="69"/>
      <c r="AS103" s="69"/>
      <c r="AT103" s="39">
        <v>87.0</v>
      </c>
      <c r="AU103" s="69" t="str">
        <f t="array" ref="AU103">IFERROR(INDEX('DB(読み込みシート※編集厳禁)'!$A$3:$AH$501,MATCH($C103,'DB(読み込みシート※編集厳禁)'!$B$3:$B$501,0),MATCH(AU$16,'DB(読み込みシート※編集厳禁)'!$A$2:$AH$2,0)),"")</f>
        <v/>
      </c>
      <c r="AV103" s="69" t="str">
        <f t="array" ref="AV103">IFERROR(INDEX('DB(読み込みシート※編集厳禁)'!$A$3:$AH$501,MATCH($C103,'DB(読み込みシート※編集厳禁)'!$B$3:$B$501,0),MATCH(AV$16,'DB(読み込みシート※編集厳禁)'!$A$2:$AH$2,0)),"")</f>
        <v/>
      </c>
      <c r="AW103" s="69" t="str">
        <f t="shared" si="22"/>
        <v/>
      </c>
      <c r="AX103" s="69" t="str">
        <f t="shared" si="23"/>
        <v/>
      </c>
      <c r="AY103" s="69" t="str">
        <f t="shared" si="24"/>
        <v/>
      </c>
      <c r="AZ103" s="69" t="str">
        <f t="shared" si="25"/>
        <v/>
      </c>
      <c r="BA103" s="69" t="str">
        <f t="shared" si="26"/>
        <v/>
      </c>
      <c r="BB103" s="69" t="str">
        <f t="shared" si="27"/>
        <v/>
      </c>
      <c r="BC103" s="69" t="str">
        <f t="shared" si="28"/>
        <v/>
      </c>
      <c r="BD103" s="70" t="str">
        <f t="shared" si="29"/>
        <v/>
      </c>
      <c r="BE103" s="70" t="str">
        <f t="shared" si="30"/>
        <v/>
      </c>
      <c r="BF103" s="1" t="str">
        <f t="shared" si="31"/>
        <v/>
      </c>
      <c r="BG103" s="1" t="str">
        <f t="shared" si="32"/>
        <v/>
      </c>
      <c r="BH103" s="1" t="str">
        <f t="shared" si="33"/>
        <v/>
      </c>
      <c r="BI103" s="1" t="str">
        <f t="shared" si="34"/>
        <v/>
      </c>
      <c r="BJ103" s="1" t="str">
        <f t="shared" si="35"/>
        <v/>
      </c>
      <c r="BK103" s="1" t="str">
        <f t="shared" si="36"/>
        <v/>
      </c>
      <c r="BL103" s="1" t="str">
        <f t="shared" si="37"/>
        <v/>
      </c>
      <c r="BM103" s="1" t="str">
        <f t="shared" si="38"/>
        <v/>
      </c>
      <c r="BN103" s="1" t="str">
        <f t="shared" si="39"/>
        <v/>
      </c>
      <c r="BO103" s="1" t="str">
        <f t="shared" si="40"/>
        <v/>
      </c>
      <c r="BP103" s="1" t="str">
        <f t="shared" si="41"/>
        <v/>
      </c>
      <c r="BQ103" s="1" t="str">
        <f t="shared" si="42"/>
        <v/>
      </c>
      <c r="BR103" s="1" t="str">
        <f t="shared" si="43"/>
        <v/>
      </c>
      <c r="BS103" s="1" t="str">
        <f t="shared" si="44"/>
        <v/>
      </c>
      <c r="BT103" s="1"/>
      <c r="BU103" s="1"/>
      <c r="BV103" s="1"/>
      <c r="BW103" s="1"/>
      <c r="BX103" s="1"/>
    </row>
    <row r="104">
      <c r="A104" s="1"/>
      <c r="B104" s="148" t="str">
        <f t="array" ref="B104">IFERROR(INDEX('DB(読み込みシート※編集厳禁)'!$A$3:$AH$501,MATCH($C104,'DB(読み込みシート※編集厳禁)'!$B$3:$B$501,0),MATCH(B$14,'DB(読み込みシート※編集厳禁)'!$A$2:$AH$2,0)),"")</f>
        <v/>
      </c>
      <c r="C104" s="149">
        <v>88.0</v>
      </c>
      <c r="D104" s="169" t="str">
        <f t="array" ref="D104">IFERROR(INDEX('DB(読み込みシート※編集厳禁)'!$A$3:$AH$501,MATCH($C104,'DB(読み込みシート※編集厳禁)'!$B$3:$B$501,0),MATCH(D$14,'DB(読み込みシート※編集厳禁)'!$A$2:$AH$2,0)),"")</f>
        <v/>
      </c>
      <c r="E104" s="170" t="str">
        <f t="array" ref="E104">IFERROR(INDEX('DB(読み込みシート※編集厳禁)'!$A$3:$AH$501,MATCH($C104,'DB(読み込みシート※編集厳禁)'!$B$3:$B$501,0),MATCH(E$14,'DB(読み込みシート※編集厳禁)'!$A$2:$AH$2,0)),"")</f>
        <v/>
      </c>
      <c r="F104" s="171" t="str">
        <f t="array" ref="F104">IFERROR(INDEX('DB(読み込みシート※編集厳禁)'!$A$3:$AH$501,MATCH($C104,'DB(読み込みシート※編集厳禁)'!$B$3:$B$501,0),MATCH(F$14,'DB(読み込みシート※編集厳禁)'!$A$2:$AH$2,0)),"")</f>
        <v/>
      </c>
      <c r="G104" s="133" t="str">
        <f t="shared" si="8"/>
        <v/>
      </c>
      <c r="H104" s="152" t="str">
        <f t="shared" si="9"/>
        <v>:00:000</v>
      </c>
      <c r="I104" s="135"/>
      <c r="J104" s="166"/>
      <c r="K104" s="137" t="s">
        <v>15</v>
      </c>
      <c r="L104" s="138" t="str">
        <f t="shared" si="10"/>
        <v/>
      </c>
      <c r="M104" s="139" t="str">
        <f t="shared" si="11"/>
        <v/>
      </c>
      <c r="N104" s="140" t="str">
        <f t="shared" si="12"/>
        <v/>
      </c>
      <c r="O104" s="141" t="str">
        <f t="shared" si="13"/>
        <v/>
      </c>
      <c r="P104" s="162" t="str">
        <f t="shared" si="14"/>
        <v>:00:000</v>
      </c>
      <c r="Q104" s="148" t="str">
        <f t="array" ref="Q104">IFERROR(INDEX('DB(読み込みシート※編集厳禁)'!$A$3:$AH$501,MATCH($C104,'DB(読み込みシート※編集厳禁)'!$B$3:$B$501,0),MATCH(Q$14,'DB(読み込みシート※編集厳禁)'!$A$2:$AH$2,0)),"")</f>
        <v/>
      </c>
      <c r="R104" s="149">
        <v>88.0</v>
      </c>
      <c r="S104" s="169" t="str">
        <f t="array" ref="S104">IFERROR(INDEX('DB(読み込みシート※編集厳禁)'!$A$3:$AH$501,MATCH($C104,'DB(読み込みシート※編集厳禁)'!$B$3:$B$501,0),MATCH(S$14,'DB(読み込みシート※編集厳禁)'!$A$2:$AH$2,0)),"")</f>
        <v/>
      </c>
      <c r="T104" s="170" t="str">
        <f t="array" ref="T104">IFERROR(INDEX('DB(読み込みシート※編集厳禁)'!$A$3:$AH$501,MATCH($C104,'DB(読み込みシート※編集厳禁)'!$B$3:$B$501,0),MATCH(T$14,'DB(読み込みシート※編集厳禁)'!$A$2:$AH$2,0)),"")</f>
        <v/>
      </c>
      <c r="U104" s="135"/>
      <c r="V104" s="166"/>
      <c r="W104" s="137" t="s">
        <v>15</v>
      </c>
      <c r="X104" s="138" t="str">
        <f t="shared" si="15"/>
        <v/>
      </c>
      <c r="Y104" s="139" t="str">
        <f t="shared" si="16"/>
        <v/>
      </c>
      <c r="Z104" s="144" t="str">
        <f t="shared" si="17"/>
        <v/>
      </c>
      <c r="AA104" s="1"/>
      <c r="AB104" s="6"/>
      <c r="AC104" s="6"/>
      <c r="AD104" s="6"/>
      <c r="AE104" s="6"/>
      <c r="AF104" s="6"/>
      <c r="AG104" s="6" t="str">
        <f t="shared" si="18"/>
        <v/>
      </c>
      <c r="AH104" s="6" t="str">
        <f t="shared" si="19"/>
        <v/>
      </c>
      <c r="AI104" s="6" t="str">
        <f t="shared" si="20"/>
        <v>-</v>
      </c>
      <c r="AJ104" s="6"/>
      <c r="AK104" s="6" t="str">
        <f t="shared" si="21"/>
        <v/>
      </c>
      <c r="AL104" s="6"/>
      <c r="AM104" s="6"/>
      <c r="AN104" s="6"/>
      <c r="AO104" s="6"/>
      <c r="AP104" s="6"/>
      <c r="AQ104" s="7"/>
      <c r="AR104" s="69"/>
      <c r="AS104" s="69"/>
      <c r="AT104" s="39">
        <v>88.0</v>
      </c>
      <c r="AU104" s="69" t="str">
        <f t="array" ref="AU104">IFERROR(INDEX('DB(読み込みシート※編集厳禁)'!$A$3:$AH$501,MATCH($C104,'DB(読み込みシート※編集厳禁)'!$B$3:$B$501,0),MATCH(AU$16,'DB(読み込みシート※編集厳禁)'!$A$2:$AH$2,0)),"")</f>
        <v/>
      </c>
      <c r="AV104" s="69" t="str">
        <f t="array" ref="AV104">IFERROR(INDEX('DB(読み込みシート※編集厳禁)'!$A$3:$AH$501,MATCH($C104,'DB(読み込みシート※編集厳禁)'!$B$3:$B$501,0),MATCH(AV$16,'DB(読み込みシート※編集厳禁)'!$A$2:$AH$2,0)),"")</f>
        <v/>
      </c>
      <c r="AW104" s="69" t="str">
        <f t="shared" si="22"/>
        <v/>
      </c>
      <c r="AX104" s="69" t="str">
        <f t="shared" si="23"/>
        <v/>
      </c>
      <c r="AY104" s="69" t="str">
        <f t="shared" si="24"/>
        <v/>
      </c>
      <c r="AZ104" s="69" t="str">
        <f t="shared" si="25"/>
        <v/>
      </c>
      <c r="BA104" s="69" t="str">
        <f t="shared" si="26"/>
        <v/>
      </c>
      <c r="BB104" s="69" t="str">
        <f t="shared" si="27"/>
        <v/>
      </c>
      <c r="BC104" s="69" t="str">
        <f t="shared" si="28"/>
        <v/>
      </c>
      <c r="BD104" s="70" t="str">
        <f t="shared" si="29"/>
        <v/>
      </c>
      <c r="BE104" s="70" t="str">
        <f t="shared" si="30"/>
        <v/>
      </c>
      <c r="BF104" s="1" t="str">
        <f t="shared" si="31"/>
        <v/>
      </c>
      <c r="BG104" s="1" t="str">
        <f t="shared" si="32"/>
        <v/>
      </c>
      <c r="BH104" s="1" t="str">
        <f t="shared" si="33"/>
        <v/>
      </c>
      <c r="BI104" s="1" t="str">
        <f t="shared" si="34"/>
        <v/>
      </c>
      <c r="BJ104" s="1" t="str">
        <f t="shared" si="35"/>
        <v/>
      </c>
      <c r="BK104" s="1" t="str">
        <f t="shared" si="36"/>
        <v/>
      </c>
      <c r="BL104" s="1" t="str">
        <f t="shared" si="37"/>
        <v/>
      </c>
      <c r="BM104" s="1" t="str">
        <f t="shared" si="38"/>
        <v/>
      </c>
      <c r="BN104" s="1" t="str">
        <f t="shared" si="39"/>
        <v/>
      </c>
      <c r="BO104" s="1" t="str">
        <f t="shared" si="40"/>
        <v/>
      </c>
      <c r="BP104" s="1" t="str">
        <f t="shared" si="41"/>
        <v/>
      </c>
      <c r="BQ104" s="1" t="str">
        <f t="shared" si="42"/>
        <v/>
      </c>
      <c r="BR104" s="1" t="str">
        <f t="shared" si="43"/>
        <v/>
      </c>
      <c r="BS104" s="1" t="str">
        <f t="shared" si="44"/>
        <v/>
      </c>
      <c r="BT104" s="1"/>
      <c r="BU104" s="1"/>
      <c r="BV104" s="1"/>
      <c r="BW104" s="1"/>
      <c r="BX104" s="1"/>
    </row>
    <row r="105">
      <c r="A105" s="1"/>
      <c r="B105" s="148" t="str">
        <f t="array" ref="B105">IFERROR(INDEX('DB(読み込みシート※編集厳禁)'!$A$3:$AH$501,MATCH($C105,'DB(読み込みシート※編集厳禁)'!$B$3:$B$501,0),MATCH(B$14,'DB(読み込みシート※編集厳禁)'!$A$2:$AH$2,0)),"")</f>
        <v/>
      </c>
      <c r="C105" s="149">
        <v>89.0</v>
      </c>
      <c r="D105" s="169" t="str">
        <f t="array" ref="D105">IFERROR(INDEX('DB(読み込みシート※編集厳禁)'!$A$3:$AH$501,MATCH($C105,'DB(読み込みシート※編集厳禁)'!$B$3:$B$501,0),MATCH(D$14,'DB(読み込みシート※編集厳禁)'!$A$2:$AH$2,0)),"")</f>
        <v/>
      </c>
      <c r="E105" s="170" t="str">
        <f t="array" ref="E105">IFERROR(INDEX('DB(読み込みシート※編集厳禁)'!$A$3:$AH$501,MATCH($C105,'DB(読み込みシート※編集厳禁)'!$B$3:$B$501,0),MATCH(E$14,'DB(読み込みシート※編集厳禁)'!$A$2:$AH$2,0)),"")</f>
        <v/>
      </c>
      <c r="F105" s="171" t="str">
        <f t="array" ref="F105">IFERROR(INDEX('DB(読み込みシート※編集厳禁)'!$A$3:$AH$501,MATCH($C105,'DB(読み込みシート※編集厳禁)'!$B$3:$B$501,0),MATCH(F$14,'DB(読み込みシート※編集厳禁)'!$A$2:$AH$2,0)),"")</f>
        <v/>
      </c>
      <c r="G105" s="133" t="str">
        <f t="shared" si="8"/>
        <v/>
      </c>
      <c r="H105" s="152" t="str">
        <f t="shared" si="9"/>
        <v>:00:000</v>
      </c>
      <c r="I105" s="135"/>
      <c r="J105" s="166"/>
      <c r="K105" s="137" t="s">
        <v>15</v>
      </c>
      <c r="L105" s="138" t="str">
        <f t="shared" si="10"/>
        <v/>
      </c>
      <c r="M105" s="139" t="str">
        <f t="shared" si="11"/>
        <v/>
      </c>
      <c r="N105" s="140" t="str">
        <f t="shared" si="12"/>
        <v/>
      </c>
      <c r="O105" s="141" t="str">
        <f t="shared" si="13"/>
        <v/>
      </c>
      <c r="P105" s="162" t="str">
        <f t="shared" si="14"/>
        <v>:00:000</v>
      </c>
      <c r="Q105" s="148" t="str">
        <f t="array" ref="Q105">IFERROR(INDEX('DB(読み込みシート※編集厳禁)'!$A$3:$AH$501,MATCH($C105,'DB(読み込みシート※編集厳禁)'!$B$3:$B$501,0),MATCH(Q$14,'DB(読み込みシート※編集厳禁)'!$A$2:$AH$2,0)),"")</f>
        <v/>
      </c>
      <c r="R105" s="149">
        <v>89.0</v>
      </c>
      <c r="S105" s="169" t="str">
        <f t="array" ref="S105">IFERROR(INDEX('DB(読み込みシート※編集厳禁)'!$A$3:$AH$501,MATCH($C105,'DB(読み込みシート※編集厳禁)'!$B$3:$B$501,0),MATCH(S$14,'DB(読み込みシート※編集厳禁)'!$A$2:$AH$2,0)),"")</f>
        <v/>
      </c>
      <c r="T105" s="170" t="str">
        <f t="array" ref="T105">IFERROR(INDEX('DB(読み込みシート※編集厳禁)'!$A$3:$AH$501,MATCH($C105,'DB(読み込みシート※編集厳禁)'!$B$3:$B$501,0),MATCH(T$14,'DB(読み込みシート※編集厳禁)'!$A$2:$AH$2,0)),"")</f>
        <v/>
      </c>
      <c r="U105" s="135"/>
      <c r="V105" s="166"/>
      <c r="W105" s="137" t="s">
        <v>15</v>
      </c>
      <c r="X105" s="138" t="str">
        <f t="shared" si="15"/>
        <v/>
      </c>
      <c r="Y105" s="139" t="str">
        <f t="shared" si="16"/>
        <v/>
      </c>
      <c r="Z105" s="144" t="str">
        <f t="shared" si="17"/>
        <v/>
      </c>
      <c r="AA105" s="1"/>
      <c r="AB105" s="6"/>
      <c r="AC105" s="6"/>
      <c r="AD105" s="6"/>
      <c r="AE105" s="6"/>
      <c r="AF105" s="6"/>
      <c r="AG105" s="6" t="str">
        <f t="shared" si="18"/>
        <v/>
      </c>
      <c r="AH105" s="6" t="str">
        <f t="shared" si="19"/>
        <v/>
      </c>
      <c r="AI105" s="6" t="str">
        <f t="shared" si="20"/>
        <v>-</v>
      </c>
      <c r="AJ105" s="6"/>
      <c r="AK105" s="6" t="str">
        <f t="shared" si="21"/>
        <v/>
      </c>
      <c r="AL105" s="6"/>
      <c r="AM105" s="6"/>
      <c r="AN105" s="6"/>
      <c r="AO105" s="6"/>
      <c r="AP105" s="6"/>
      <c r="AQ105" s="7"/>
      <c r="AR105" s="69"/>
      <c r="AS105" s="69"/>
      <c r="AT105" s="39">
        <v>89.0</v>
      </c>
      <c r="AU105" s="69" t="str">
        <f t="array" ref="AU105">IFERROR(INDEX('DB(読み込みシート※編集厳禁)'!$A$3:$AH$501,MATCH($C105,'DB(読み込みシート※編集厳禁)'!$B$3:$B$501,0),MATCH(AU$16,'DB(読み込みシート※編集厳禁)'!$A$2:$AH$2,0)),"")</f>
        <v/>
      </c>
      <c r="AV105" s="69" t="str">
        <f t="array" ref="AV105">IFERROR(INDEX('DB(読み込みシート※編集厳禁)'!$A$3:$AH$501,MATCH($C105,'DB(読み込みシート※編集厳禁)'!$B$3:$B$501,0),MATCH(AV$16,'DB(読み込みシート※編集厳禁)'!$A$2:$AH$2,0)),"")</f>
        <v/>
      </c>
      <c r="AW105" s="69" t="str">
        <f t="shared" si="22"/>
        <v/>
      </c>
      <c r="AX105" s="69" t="str">
        <f t="shared" si="23"/>
        <v/>
      </c>
      <c r="AY105" s="69" t="str">
        <f t="shared" si="24"/>
        <v/>
      </c>
      <c r="AZ105" s="69" t="str">
        <f t="shared" si="25"/>
        <v/>
      </c>
      <c r="BA105" s="69" t="str">
        <f t="shared" si="26"/>
        <v/>
      </c>
      <c r="BB105" s="69" t="str">
        <f t="shared" si="27"/>
        <v/>
      </c>
      <c r="BC105" s="69" t="str">
        <f t="shared" si="28"/>
        <v/>
      </c>
      <c r="BD105" s="70" t="str">
        <f t="shared" si="29"/>
        <v/>
      </c>
      <c r="BE105" s="70" t="str">
        <f t="shared" si="30"/>
        <v/>
      </c>
      <c r="BF105" s="1" t="str">
        <f t="shared" si="31"/>
        <v/>
      </c>
      <c r="BG105" s="1" t="str">
        <f t="shared" si="32"/>
        <v/>
      </c>
      <c r="BH105" s="1" t="str">
        <f t="shared" si="33"/>
        <v/>
      </c>
      <c r="BI105" s="1" t="str">
        <f t="shared" si="34"/>
        <v/>
      </c>
      <c r="BJ105" s="1" t="str">
        <f t="shared" si="35"/>
        <v/>
      </c>
      <c r="BK105" s="1" t="str">
        <f t="shared" si="36"/>
        <v/>
      </c>
      <c r="BL105" s="1" t="str">
        <f t="shared" si="37"/>
        <v/>
      </c>
      <c r="BM105" s="1" t="str">
        <f t="shared" si="38"/>
        <v/>
      </c>
      <c r="BN105" s="1" t="str">
        <f t="shared" si="39"/>
        <v/>
      </c>
      <c r="BO105" s="1" t="str">
        <f t="shared" si="40"/>
        <v/>
      </c>
      <c r="BP105" s="1" t="str">
        <f t="shared" si="41"/>
        <v/>
      </c>
      <c r="BQ105" s="1" t="str">
        <f t="shared" si="42"/>
        <v/>
      </c>
      <c r="BR105" s="1" t="str">
        <f t="shared" si="43"/>
        <v/>
      </c>
      <c r="BS105" s="1" t="str">
        <f t="shared" si="44"/>
        <v/>
      </c>
      <c r="BT105" s="1"/>
      <c r="BU105" s="1"/>
      <c r="BV105" s="1"/>
      <c r="BW105" s="1"/>
      <c r="BX105" s="1"/>
    </row>
    <row r="106">
      <c r="A106" s="1"/>
      <c r="B106" s="148" t="str">
        <f t="array" ref="B106">IFERROR(INDEX('DB(読み込みシート※編集厳禁)'!$A$3:$AH$501,MATCH($C106,'DB(読み込みシート※編集厳禁)'!$B$3:$B$501,0),MATCH(B$14,'DB(読み込みシート※編集厳禁)'!$A$2:$AH$2,0)),"")</f>
        <v/>
      </c>
      <c r="C106" s="149">
        <v>90.0</v>
      </c>
      <c r="D106" s="169" t="str">
        <f t="array" ref="D106">IFERROR(INDEX('DB(読み込みシート※編集厳禁)'!$A$3:$AH$501,MATCH($C106,'DB(読み込みシート※編集厳禁)'!$B$3:$B$501,0),MATCH(D$14,'DB(読み込みシート※編集厳禁)'!$A$2:$AH$2,0)),"")</f>
        <v/>
      </c>
      <c r="E106" s="170" t="str">
        <f t="array" ref="E106">IFERROR(INDEX('DB(読み込みシート※編集厳禁)'!$A$3:$AH$501,MATCH($C106,'DB(読み込みシート※編集厳禁)'!$B$3:$B$501,0),MATCH(E$14,'DB(読み込みシート※編集厳禁)'!$A$2:$AH$2,0)),"")</f>
        <v/>
      </c>
      <c r="F106" s="171" t="str">
        <f t="array" ref="F106">IFERROR(INDEX('DB(読み込みシート※編集厳禁)'!$A$3:$AH$501,MATCH($C106,'DB(読み込みシート※編集厳禁)'!$B$3:$B$501,0),MATCH(F$14,'DB(読み込みシート※編集厳禁)'!$A$2:$AH$2,0)),"")</f>
        <v/>
      </c>
      <c r="G106" s="133" t="str">
        <f t="shared" si="8"/>
        <v/>
      </c>
      <c r="H106" s="152" t="str">
        <f t="shared" si="9"/>
        <v>:00:000</v>
      </c>
      <c r="I106" s="135"/>
      <c r="J106" s="166"/>
      <c r="K106" s="137" t="s">
        <v>15</v>
      </c>
      <c r="L106" s="138" t="str">
        <f t="shared" si="10"/>
        <v/>
      </c>
      <c r="M106" s="139" t="str">
        <f t="shared" si="11"/>
        <v/>
      </c>
      <c r="N106" s="140" t="str">
        <f t="shared" si="12"/>
        <v/>
      </c>
      <c r="O106" s="141" t="str">
        <f t="shared" si="13"/>
        <v/>
      </c>
      <c r="P106" s="162" t="str">
        <f t="shared" si="14"/>
        <v>:00:000</v>
      </c>
      <c r="Q106" s="148" t="str">
        <f t="array" ref="Q106">IFERROR(INDEX('DB(読み込みシート※編集厳禁)'!$A$3:$AH$501,MATCH($C106,'DB(読み込みシート※編集厳禁)'!$B$3:$B$501,0),MATCH(Q$14,'DB(読み込みシート※編集厳禁)'!$A$2:$AH$2,0)),"")</f>
        <v/>
      </c>
      <c r="R106" s="149">
        <v>90.0</v>
      </c>
      <c r="S106" s="169" t="str">
        <f t="array" ref="S106">IFERROR(INDEX('DB(読み込みシート※編集厳禁)'!$A$3:$AH$501,MATCH($C106,'DB(読み込みシート※編集厳禁)'!$B$3:$B$501,0),MATCH(S$14,'DB(読み込みシート※編集厳禁)'!$A$2:$AH$2,0)),"")</f>
        <v/>
      </c>
      <c r="T106" s="170" t="str">
        <f t="array" ref="T106">IFERROR(INDEX('DB(読み込みシート※編集厳禁)'!$A$3:$AH$501,MATCH($C106,'DB(読み込みシート※編集厳禁)'!$B$3:$B$501,0),MATCH(T$14,'DB(読み込みシート※編集厳禁)'!$A$2:$AH$2,0)),"")</f>
        <v/>
      </c>
      <c r="U106" s="135"/>
      <c r="V106" s="166"/>
      <c r="W106" s="137" t="s">
        <v>15</v>
      </c>
      <c r="X106" s="138" t="str">
        <f t="shared" si="15"/>
        <v/>
      </c>
      <c r="Y106" s="139" t="str">
        <f t="shared" si="16"/>
        <v/>
      </c>
      <c r="Z106" s="144" t="str">
        <f t="shared" si="17"/>
        <v/>
      </c>
      <c r="AA106" s="1"/>
      <c r="AB106" s="6"/>
      <c r="AC106" s="6"/>
      <c r="AD106" s="6"/>
      <c r="AE106" s="6"/>
      <c r="AF106" s="6"/>
      <c r="AG106" s="6" t="str">
        <f t="shared" si="18"/>
        <v/>
      </c>
      <c r="AH106" s="6" t="str">
        <f t="shared" si="19"/>
        <v/>
      </c>
      <c r="AI106" s="6" t="str">
        <f t="shared" si="20"/>
        <v>-</v>
      </c>
      <c r="AJ106" s="6"/>
      <c r="AK106" s="6" t="str">
        <f t="shared" si="21"/>
        <v/>
      </c>
      <c r="AL106" s="6"/>
      <c r="AM106" s="6"/>
      <c r="AN106" s="6"/>
      <c r="AO106" s="6"/>
      <c r="AP106" s="6"/>
      <c r="AQ106" s="7"/>
      <c r="AR106" s="69"/>
      <c r="AS106" s="69"/>
      <c r="AT106" s="39">
        <v>90.0</v>
      </c>
      <c r="AU106" s="69" t="str">
        <f t="array" ref="AU106">IFERROR(INDEX('DB(読み込みシート※編集厳禁)'!$A$3:$AH$501,MATCH($C106,'DB(読み込みシート※編集厳禁)'!$B$3:$B$501,0),MATCH(AU$16,'DB(読み込みシート※編集厳禁)'!$A$2:$AH$2,0)),"")</f>
        <v/>
      </c>
      <c r="AV106" s="69" t="str">
        <f t="array" ref="AV106">IFERROR(INDEX('DB(読み込みシート※編集厳禁)'!$A$3:$AH$501,MATCH($C106,'DB(読み込みシート※編集厳禁)'!$B$3:$B$501,0),MATCH(AV$16,'DB(読み込みシート※編集厳禁)'!$A$2:$AH$2,0)),"")</f>
        <v/>
      </c>
      <c r="AW106" s="69" t="str">
        <f t="shared" si="22"/>
        <v/>
      </c>
      <c r="AX106" s="69" t="str">
        <f t="shared" si="23"/>
        <v/>
      </c>
      <c r="AY106" s="69" t="str">
        <f t="shared" si="24"/>
        <v/>
      </c>
      <c r="AZ106" s="69" t="str">
        <f t="shared" si="25"/>
        <v/>
      </c>
      <c r="BA106" s="69" t="str">
        <f t="shared" si="26"/>
        <v/>
      </c>
      <c r="BB106" s="69" t="str">
        <f t="shared" si="27"/>
        <v/>
      </c>
      <c r="BC106" s="69" t="str">
        <f t="shared" si="28"/>
        <v/>
      </c>
      <c r="BD106" s="70" t="str">
        <f t="shared" si="29"/>
        <v/>
      </c>
      <c r="BE106" s="70" t="str">
        <f t="shared" si="30"/>
        <v/>
      </c>
      <c r="BF106" s="1" t="str">
        <f t="shared" si="31"/>
        <v/>
      </c>
      <c r="BG106" s="1" t="str">
        <f t="shared" si="32"/>
        <v/>
      </c>
      <c r="BH106" s="1" t="str">
        <f t="shared" si="33"/>
        <v/>
      </c>
      <c r="BI106" s="1" t="str">
        <f t="shared" si="34"/>
        <v/>
      </c>
      <c r="BJ106" s="1" t="str">
        <f t="shared" si="35"/>
        <v/>
      </c>
      <c r="BK106" s="1" t="str">
        <f t="shared" si="36"/>
        <v/>
      </c>
      <c r="BL106" s="1" t="str">
        <f t="shared" si="37"/>
        <v/>
      </c>
      <c r="BM106" s="1" t="str">
        <f t="shared" si="38"/>
        <v/>
      </c>
      <c r="BN106" s="1" t="str">
        <f t="shared" si="39"/>
        <v/>
      </c>
      <c r="BO106" s="1" t="str">
        <f t="shared" si="40"/>
        <v/>
      </c>
      <c r="BP106" s="1" t="str">
        <f t="shared" si="41"/>
        <v/>
      </c>
      <c r="BQ106" s="1" t="str">
        <f t="shared" si="42"/>
        <v/>
      </c>
      <c r="BR106" s="1" t="str">
        <f t="shared" si="43"/>
        <v/>
      </c>
      <c r="BS106" s="1" t="str">
        <f t="shared" si="44"/>
        <v/>
      </c>
      <c r="BT106" s="1"/>
      <c r="BU106" s="1"/>
      <c r="BV106" s="1"/>
      <c r="BW106" s="1"/>
      <c r="BX106" s="1"/>
    </row>
    <row r="107">
      <c r="A107" s="1"/>
      <c r="B107" s="148" t="str">
        <f t="array" ref="B107">IFERROR(INDEX('DB(読み込みシート※編集厳禁)'!$A$3:$AH$501,MATCH($C107,'DB(読み込みシート※編集厳禁)'!$B$3:$B$501,0),MATCH(B$14,'DB(読み込みシート※編集厳禁)'!$A$2:$AH$2,0)),"")</f>
        <v/>
      </c>
      <c r="C107" s="149">
        <v>91.0</v>
      </c>
      <c r="D107" s="169" t="str">
        <f t="array" ref="D107">IFERROR(INDEX('DB(読み込みシート※編集厳禁)'!$A$3:$AH$501,MATCH($C107,'DB(読み込みシート※編集厳禁)'!$B$3:$B$501,0),MATCH(D$14,'DB(読み込みシート※編集厳禁)'!$A$2:$AH$2,0)),"")</f>
        <v/>
      </c>
      <c r="E107" s="170" t="str">
        <f t="array" ref="E107">IFERROR(INDEX('DB(読み込みシート※編集厳禁)'!$A$3:$AH$501,MATCH($C107,'DB(読み込みシート※編集厳禁)'!$B$3:$B$501,0),MATCH(E$14,'DB(読み込みシート※編集厳禁)'!$A$2:$AH$2,0)),"")</f>
        <v/>
      </c>
      <c r="F107" s="171" t="str">
        <f t="array" ref="F107">IFERROR(INDEX('DB(読み込みシート※編集厳禁)'!$A$3:$AH$501,MATCH($C107,'DB(読み込みシート※編集厳禁)'!$B$3:$B$501,0),MATCH(F$14,'DB(読み込みシート※編集厳禁)'!$A$2:$AH$2,0)),"")</f>
        <v/>
      </c>
      <c r="G107" s="133" t="str">
        <f t="shared" si="8"/>
        <v/>
      </c>
      <c r="H107" s="152" t="str">
        <f t="shared" si="9"/>
        <v>:00:000</v>
      </c>
      <c r="I107" s="135"/>
      <c r="J107" s="166"/>
      <c r="K107" s="137" t="s">
        <v>15</v>
      </c>
      <c r="L107" s="138" t="str">
        <f t="shared" si="10"/>
        <v/>
      </c>
      <c r="M107" s="139" t="str">
        <f t="shared" si="11"/>
        <v/>
      </c>
      <c r="N107" s="140" t="str">
        <f t="shared" si="12"/>
        <v/>
      </c>
      <c r="O107" s="141" t="str">
        <f t="shared" si="13"/>
        <v/>
      </c>
      <c r="P107" s="162" t="str">
        <f t="shared" si="14"/>
        <v>:00:000</v>
      </c>
      <c r="Q107" s="148" t="str">
        <f t="array" ref="Q107">IFERROR(INDEX('DB(読み込みシート※編集厳禁)'!$A$3:$AH$501,MATCH($C107,'DB(読み込みシート※編集厳禁)'!$B$3:$B$501,0),MATCH(Q$14,'DB(読み込みシート※編集厳禁)'!$A$2:$AH$2,0)),"")</f>
        <v/>
      </c>
      <c r="R107" s="149">
        <v>91.0</v>
      </c>
      <c r="S107" s="169" t="str">
        <f t="array" ref="S107">IFERROR(INDEX('DB(読み込みシート※編集厳禁)'!$A$3:$AH$501,MATCH($C107,'DB(読み込みシート※編集厳禁)'!$B$3:$B$501,0),MATCH(S$14,'DB(読み込みシート※編集厳禁)'!$A$2:$AH$2,0)),"")</f>
        <v/>
      </c>
      <c r="T107" s="170" t="str">
        <f t="array" ref="T107">IFERROR(INDEX('DB(読み込みシート※編集厳禁)'!$A$3:$AH$501,MATCH($C107,'DB(読み込みシート※編集厳禁)'!$B$3:$B$501,0),MATCH(T$14,'DB(読み込みシート※編集厳禁)'!$A$2:$AH$2,0)),"")</f>
        <v/>
      </c>
      <c r="U107" s="135"/>
      <c r="V107" s="166"/>
      <c r="W107" s="137" t="s">
        <v>15</v>
      </c>
      <c r="X107" s="138" t="str">
        <f t="shared" si="15"/>
        <v/>
      </c>
      <c r="Y107" s="139" t="str">
        <f t="shared" si="16"/>
        <v/>
      </c>
      <c r="Z107" s="144" t="str">
        <f t="shared" si="17"/>
        <v/>
      </c>
      <c r="AA107" s="1"/>
      <c r="AB107" s="6"/>
      <c r="AC107" s="6"/>
      <c r="AD107" s="6"/>
      <c r="AE107" s="6"/>
      <c r="AF107" s="6"/>
      <c r="AG107" s="6" t="str">
        <f t="shared" si="18"/>
        <v/>
      </c>
      <c r="AH107" s="6" t="str">
        <f t="shared" si="19"/>
        <v/>
      </c>
      <c r="AI107" s="6" t="str">
        <f t="shared" si="20"/>
        <v>-</v>
      </c>
      <c r="AJ107" s="6"/>
      <c r="AK107" s="6" t="str">
        <f t="shared" si="21"/>
        <v/>
      </c>
      <c r="AL107" s="6"/>
      <c r="AM107" s="6"/>
      <c r="AN107" s="6"/>
      <c r="AO107" s="6"/>
      <c r="AP107" s="6"/>
      <c r="AQ107" s="7"/>
      <c r="AR107" s="69"/>
      <c r="AS107" s="69"/>
      <c r="AT107" s="39">
        <v>91.0</v>
      </c>
      <c r="AU107" s="69" t="str">
        <f t="array" ref="AU107">IFERROR(INDEX('DB(読み込みシート※編集厳禁)'!$A$3:$AH$501,MATCH($C107,'DB(読み込みシート※編集厳禁)'!$B$3:$B$501,0),MATCH(AU$16,'DB(読み込みシート※編集厳禁)'!$A$2:$AH$2,0)),"")</f>
        <v/>
      </c>
      <c r="AV107" s="69" t="str">
        <f t="array" ref="AV107">IFERROR(INDEX('DB(読み込みシート※編集厳禁)'!$A$3:$AH$501,MATCH($C107,'DB(読み込みシート※編集厳禁)'!$B$3:$B$501,0),MATCH(AV$16,'DB(読み込みシート※編集厳禁)'!$A$2:$AH$2,0)),"")</f>
        <v/>
      </c>
      <c r="AW107" s="69" t="str">
        <f t="shared" si="22"/>
        <v/>
      </c>
      <c r="AX107" s="69" t="str">
        <f t="shared" si="23"/>
        <v/>
      </c>
      <c r="AY107" s="69" t="str">
        <f t="shared" si="24"/>
        <v/>
      </c>
      <c r="AZ107" s="69" t="str">
        <f t="shared" si="25"/>
        <v/>
      </c>
      <c r="BA107" s="69" t="str">
        <f t="shared" si="26"/>
        <v/>
      </c>
      <c r="BB107" s="69" t="str">
        <f t="shared" si="27"/>
        <v/>
      </c>
      <c r="BC107" s="69" t="str">
        <f t="shared" si="28"/>
        <v/>
      </c>
      <c r="BD107" s="70" t="str">
        <f t="shared" si="29"/>
        <v/>
      </c>
      <c r="BE107" s="70" t="str">
        <f t="shared" si="30"/>
        <v/>
      </c>
      <c r="BF107" s="1" t="str">
        <f t="shared" si="31"/>
        <v/>
      </c>
      <c r="BG107" s="1" t="str">
        <f t="shared" si="32"/>
        <v/>
      </c>
      <c r="BH107" s="1" t="str">
        <f t="shared" si="33"/>
        <v/>
      </c>
      <c r="BI107" s="1" t="str">
        <f t="shared" si="34"/>
        <v/>
      </c>
      <c r="BJ107" s="1" t="str">
        <f t="shared" si="35"/>
        <v/>
      </c>
      <c r="BK107" s="1" t="str">
        <f t="shared" si="36"/>
        <v/>
      </c>
      <c r="BL107" s="1" t="str">
        <f t="shared" si="37"/>
        <v/>
      </c>
      <c r="BM107" s="1" t="str">
        <f t="shared" si="38"/>
        <v/>
      </c>
      <c r="BN107" s="1" t="str">
        <f t="shared" si="39"/>
        <v/>
      </c>
      <c r="BO107" s="1" t="str">
        <f t="shared" si="40"/>
        <v/>
      </c>
      <c r="BP107" s="1" t="str">
        <f t="shared" si="41"/>
        <v/>
      </c>
      <c r="BQ107" s="1" t="str">
        <f t="shared" si="42"/>
        <v/>
      </c>
      <c r="BR107" s="1" t="str">
        <f t="shared" si="43"/>
        <v/>
      </c>
      <c r="BS107" s="1" t="str">
        <f t="shared" si="44"/>
        <v/>
      </c>
      <c r="BT107" s="1"/>
      <c r="BU107" s="1"/>
      <c r="BV107" s="1"/>
      <c r="BW107" s="1"/>
      <c r="BX107" s="1"/>
    </row>
    <row r="108">
      <c r="A108" s="1"/>
      <c r="B108" s="148" t="str">
        <f t="array" ref="B108">IFERROR(INDEX('DB(読み込みシート※編集厳禁)'!$A$3:$AH$501,MATCH($C108,'DB(読み込みシート※編集厳禁)'!$B$3:$B$501,0),MATCH(B$14,'DB(読み込みシート※編集厳禁)'!$A$2:$AH$2,0)),"")</f>
        <v/>
      </c>
      <c r="C108" s="149">
        <v>92.0</v>
      </c>
      <c r="D108" s="169" t="str">
        <f t="array" ref="D108">IFERROR(INDEX('DB(読み込みシート※編集厳禁)'!$A$3:$AH$501,MATCH($C108,'DB(読み込みシート※編集厳禁)'!$B$3:$B$501,0),MATCH(D$14,'DB(読み込みシート※編集厳禁)'!$A$2:$AH$2,0)),"")</f>
        <v/>
      </c>
      <c r="E108" s="170" t="str">
        <f t="array" ref="E108">IFERROR(INDEX('DB(読み込みシート※編集厳禁)'!$A$3:$AH$501,MATCH($C108,'DB(読み込みシート※編集厳禁)'!$B$3:$B$501,0),MATCH(E$14,'DB(読み込みシート※編集厳禁)'!$A$2:$AH$2,0)),"")</f>
        <v/>
      </c>
      <c r="F108" s="171" t="str">
        <f t="array" ref="F108">IFERROR(INDEX('DB(読み込みシート※編集厳禁)'!$A$3:$AH$501,MATCH($C108,'DB(読み込みシート※編集厳禁)'!$B$3:$B$501,0),MATCH(F$14,'DB(読み込みシート※編集厳禁)'!$A$2:$AH$2,0)),"")</f>
        <v/>
      </c>
      <c r="G108" s="133" t="str">
        <f t="shared" si="8"/>
        <v/>
      </c>
      <c r="H108" s="152" t="str">
        <f t="shared" si="9"/>
        <v>:00:000</v>
      </c>
      <c r="I108" s="135"/>
      <c r="J108" s="166"/>
      <c r="K108" s="137" t="s">
        <v>15</v>
      </c>
      <c r="L108" s="138" t="str">
        <f t="shared" si="10"/>
        <v/>
      </c>
      <c r="M108" s="139" t="str">
        <f t="shared" si="11"/>
        <v/>
      </c>
      <c r="N108" s="140" t="str">
        <f t="shared" si="12"/>
        <v/>
      </c>
      <c r="O108" s="141" t="str">
        <f t="shared" si="13"/>
        <v/>
      </c>
      <c r="P108" s="162" t="str">
        <f t="shared" si="14"/>
        <v>:00:000</v>
      </c>
      <c r="Q108" s="148" t="str">
        <f t="array" ref="Q108">IFERROR(INDEX('DB(読み込みシート※編集厳禁)'!$A$3:$AH$501,MATCH($C108,'DB(読み込みシート※編集厳禁)'!$B$3:$B$501,0),MATCH(Q$14,'DB(読み込みシート※編集厳禁)'!$A$2:$AH$2,0)),"")</f>
        <v/>
      </c>
      <c r="R108" s="149">
        <v>92.0</v>
      </c>
      <c r="S108" s="169" t="str">
        <f t="array" ref="S108">IFERROR(INDEX('DB(読み込みシート※編集厳禁)'!$A$3:$AH$501,MATCH($C108,'DB(読み込みシート※編集厳禁)'!$B$3:$B$501,0),MATCH(S$14,'DB(読み込みシート※編集厳禁)'!$A$2:$AH$2,0)),"")</f>
        <v/>
      </c>
      <c r="T108" s="170" t="str">
        <f t="array" ref="T108">IFERROR(INDEX('DB(読み込みシート※編集厳禁)'!$A$3:$AH$501,MATCH($C108,'DB(読み込みシート※編集厳禁)'!$B$3:$B$501,0),MATCH(T$14,'DB(読み込みシート※編集厳禁)'!$A$2:$AH$2,0)),"")</f>
        <v/>
      </c>
      <c r="U108" s="135"/>
      <c r="V108" s="166"/>
      <c r="W108" s="137" t="s">
        <v>15</v>
      </c>
      <c r="X108" s="138" t="str">
        <f t="shared" si="15"/>
        <v/>
      </c>
      <c r="Y108" s="139" t="str">
        <f t="shared" si="16"/>
        <v/>
      </c>
      <c r="Z108" s="144" t="str">
        <f t="shared" si="17"/>
        <v/>
      </c>
      <c r="AA108" s="1"/>
      <c r="AB108" s="6"/>
      <c r="AC108" s="6"/>
      <c r="AD108" s="6"/>
      <c r="AE108" s="6"/>
      <c r="AF108" s="6"/>
      <c r="AG108" s="6" t="str">
        <f t="shared" si="18"/>
        <v/>
      </c>
      <c r="AH108" s="6" t="str">
        <f t="shared" si="19"/>
        <v/>
      </c>
      <c r="AI108" s="6" t="str">
        <f t="shared" si="20"/>
        <v>-</v>
      </c>
      <c r="AJ108" s="6"/>
      <c r="AK108" s="6" t="str">
        <f t="shared" si="21"/>
        <v/>
      </c>
      <c r="AL108" s="6"/>
      <c r="AM108" s="6"/>
      <c r="AN108" s="6"/>
      <c r="AO108" s="6"/>
      <c r="AP108" s="6"/>
      <c r="AQ108" s="7"/>
      <c r="AR108" s="69"/>
      <c r="AS108" s="69"/>
      <c r="AT108" s="39">
        <v>92.0</v>
      </c>
      <c r="AU108" s="69" t="str">
        <f t="array" ref="AU108">IFERROR(INDEX('DB(読み込みシート※編集厳禁)'!$A$3:$AH$501,MATCH($C108,'DB(読み込みシート※編集厳禁)'!$B$3:$B$501,0),MATCH(AU$16,'DB(読み込みシート※編集厳禁)'!$A$2:$AH$2,0)),"")</f>
        <v/>
      </c>
      <c r="AV108" s="69" t="str">
        <f t="array" ref="AV108">IFERROR(INDEX('DB(読み込みシート※編集厳禁)'!$A$3:$AH$501,MATCH($C108,'DB(読み込みシート※編集厳禁)'!$B$3:$B$501,0),MATCH(AV$16,'DB(読み込みシート※編集厳禁)'!$A$2:$AH$2,0)),"")</f>
        <v/>
      </c>
      <c r="AW108" s="69" t="str">
        <f t="shared" si="22"/>
        <v/>
      </c>
      <c r="AX108" s="69" t="str">
        <f t="shared" si="23"/>
        <v/>
      </c>
      <c r="AY108" s="69" t="str">
        <f t="shared" si="24"/>
        <v/>
      </c>
      <c r="AZ108" s="69" t="str">
        <f t="shared" si="25"/>
        <v/>
      </c>
      <c r="BA108" s="69" t="str">
        <f t="shared" si="26"/>
        <v/>
      </c>
      <c r="BB108" s="69" t="str">
        <f t="shared" si="27"/>
        <v/>
      </c>
      <c r="BC108" s="69" t="str">
        <f t="shared" si="28"/>
        <v/>
      </c>
      <c r="BD108" s="70" t="str">
        <f t="shared" si="29"/>
        <v/>
      </c>
      <c r="BE108" s="70" t="str">
        <f t="shared" si="30"/>
        <v/>
      </c>
      <c r="BF108" s="1" t="str">
        <f t="shared" si="31"/>
        <v/>
      </c>
      <c r="BG108" s="1" t="str">
        <f t="shared" si="32"/>
        <v/>
      </c>
      <c r="BH108" s="1" t="str">
        <f t="shared" si="33"/>
        <v/>
      </c>
      <c r="BI108" s="1" t="str">
        <f t="shared" si="34"/>
        <v/>
      </c>
      <c r="BJ108" s="1" t="str">
        <f t="shared" si="35"/>
        <v/>
      </c>
      <c r="BK108" s="1" t="str">
        <f t="shared" si="36"/>
        <v/>
      </c>
      <c r="BL108" s="1" t="str">
        <f t="shared" si="37"/>
        <v/>
      </c>
      <c r="BM108" s="1" t="str">
        <f t="shared" si="38"/>
        <v/>
      </c>
      <c r="BN108" s="1" t="str">
        <f t="shared" si="39"/>
        <v/>
      </c>
      <c r="BO108" s="1" t="str">
        <f t="shared" si="40"/>
        <v/>
      </c>
      <c r="BP108" s="1" t="str">
        <f t="shared" si="41"/>
        <v/>
      </c>
      <c r="BQ108" s="1" t="str">
        <f t="shared" si="42"/>
        <v/>
      </c>
      <c r="BR108" s="1" t="str">
        <f t="shared" si="43"/>
        <v/>
      </c>
      <c r="BS108" s="1" t="str">
        <f t="shared" si="44"/>
        <v/>
      </c>
      <c r="BT108" s="1"/>
      <c r="BU108" s="1"/>
      <c r="BV108" s="1"/>
      <c r="BW108" s="1"/>
      <c r="BX108" s="1"/>
    </row>
    <row r="109">
      <c r="A109" s="1"/>
      <c r="B109" s="148" t="str">
        <f t="array" ref="B109">IFERROR(INDEX('DB(読み込みシート※編集厳禁)'!$A$3:$AH$501,MATCH($C109,'DB(読み込みシート※編集厳禁)'!$B$3:$B$501,0),MATCH(B$14,'DB(読み込みシート※編集厳禁)'!$A$2:$AH$2,0)),"")</f>
        <v/>
      </c>
      <c r="C109" s="149">
        <v>93.0</v>
      </c>
      <c r="D109" s="169" t="str">
        <f t="array" ref="D109">IFERROR(INDEX('DB(読み込みシート※編集厳禁)'!$A$3:$AH$501,MATCH($C109,'DB(読み込みシート※編集厳禁)'!$B$3:$B$501,0),MATCH(D$14,'DB(読み込みシート※編集厳禁)'!$A$2:$AH$2,0)),"")</f>
        <v/>
      </c>
      <c r="E109" s="170" t="str">
        <f t="array" ref="E109">IFERROR(INDEX('DB(読み込みシート※編集厳禁)'!$A$3:$AH$501,MATCH($C109,'DB(読み込みシート※編集厳禁)'!$B$3:$B$501,0),MATCH(E$14,'DB(読み込みシート※編集厳禁)'!$A$2:$AH$2,0)),"")</f>
        <v/>
      </c>
      <c r="F109" s="171" t="str">
        <f t="array" ref="F109">IFERROR(INDEX('DB(読み込みシート※編集厳禁)'!$A$3:$AH$501,MATCH($C109,'DB(読み込みシート※編集厳禁)'!$B$3:$B$501,0),MATCH(F$14,'DB(読み込みシート※編集厳禁)'!$A$2:$AH$2,0)),"")</f>
        <v/>
      </c>
      <c r="G109" s="133" t="str">
        <f t="shared" si="8"/>
        <v/>
      </c>
      <c r="H109" s="152" t="str">
        <f t="shared" si="9"/>
        <v>:00:000</v>
      </c>
      <c r="I109" s="135"/>
      <c r="J109" s="166"/>
      <c r="K109" s="137" t="s">
        <v>15</v>
      </c>
      <c r="L109" s="138" t="str">
        <f t="shared" si="10"/>
        <v/>
      </c>
      <c r="M109" s="139" t="str">
        <f t="shared" si="11"/>
        <v/>
      </c>
      <c r="N109" s="140" t="str">
        <f t="shared" si="12"/>
        <v/>
      </c>
      <c r="O109" s="141" t="str">
        <f t="shared" si="13"/>
        <v/>
      </c>
      <c r="P109" s="162" t="str">
        <f t="shared" si="14"/>
        <v>:00:000</v>
      </c>
      <c r="Q109" s="148" t="str">
        <f t="array" ref="Q109">IFERROR(INDEX('DB(読み込みシート※編集厳禁)'!$A$3:$AH$501,MATCH($C109,'DB(読み込みシート※編集厳禁)'!$B$3:$B$501,0),MATCH(Q$14,'DB(読み込みシート※編集厳禁)'!$A$2:$AH$2,0)),"")</f>
        <v/>
      </c>
      <c r="R109" s="149">
        <v>93.0</v>
      </c>
      <c r="S109" s="169" t="str">
        <f t="array" ref="S109">IFERROR(INDEX('DB(読み込みシート※編集厳禁)'!$A$3:$AH$501,MATCH($C109,'DB(読み込みシート※編集厳禁)'!$B$3:$B$501,0),MATCH(S$14,'DB(読み込みシート※編集厳禁)'!$A$2:$AH$2,0)),"")</f>
        <v/>
      </c>
      <c r="T109" s="170" t="str">
        <f t="array" ref="T109">IFERROR(INDEX('DB(読み込みシート※編集厳禁)'!$A$3:$AH$501,MATCH($C109,'DB(読み込みシート※編集厳禁)'!$B$3:$B$501,0),MATCH(T$14,'DB(読み込みシート※編集厳禁)'!$A$2:$AH$2,0)),"")</f>
        <v/>
      </c>
      <c r="U109" s="135"/>
      <c r="V109" s="166"/>
      <c r="W109" s="137" t="s">
        <v>15</v>
      </c>
      <c r="X109" s="138" t="str">
        <f t="shared" si="15"/>
        <v/>
      </c>
      <c r="Y109" s="139" t="str">
        <f t="shared" si="16"/>
        <v/>
      </c>
      <c r="Z109" s="144" t="str">
        <f t="shared" si="17"/>
        <v/>
      </c>
      <c r="AA109" s="1"/>
      <c r="AB109" s="6"/>
      <c r="AC109" s="6"/>
      <c r="AD109" s="6"/>
      <c r="AE109" s="6"/>
      <c r="AF109" s="6"/>
      <c r="AG109" s="6" t="str">
        <f t="shared" si="18"/>
        <v/>
      </c>
      <c r="AH109" s="6" t="str">
        <f t="shared" si="19"/>
        <v/>
      </c>
      <c r="AI109" s="6" t="str">
        <f t="shared" si="20"/>
        <v>-</v>
      </c>
      <c r="AJ109" s="6"/>
      <c r="AK109" s="6" t="str">
        <f t="shared" si="21"/>
        <v/>
      </c>
      <c r="AL109" s="6"/>
      <c r="AM109" s="6"/>
      <c r="AN109" s="6"/>
      <c r="AO109" s="6"/>
      <c r="AP109" s="6"/>
      <c r="AQ109" s="7"/>
      <c r="AR109" s="69"/>
      <c r="AS109" s="69"/>
      <c r="AT109" s="39">
        <v>93.0</v>
      </c>
      <c r="AU109" s="69" t="str">
        <f t="array" ref="AU109">IFERROR(INDEX('DB(読み込みシート※編集厳禁)'!$A$3:$AH$501,MATCH($C109,'DB(読み込みシート※編集厳禁)'!$B$3:$B$501,0),MATCH(AU$16,'DB(読み込みシート※編集厳禁)'!$A$2:$AH$2,0)),"")</f>
        <v/>
      </c>
      <c r="AV109" s="69" t="str">
        <f t="array" ref="AV109">IFERROR(INDEX('DB(読み込みシート※編集厳禁)'!$A$3:$AH$501,MATCH($C109,'DB(読み込みシート※編集厳禁)'!$B$3:$B$501,0),MATCH(AV$16,'DB(読み込みシート※編集厳禁)'!$A$2:$AH$2,0)),"")</f>
        <v/>
      </c>
      <c r="AW109" s="69" t="str">
        <f t="shared" si="22"/>
        <v/>
      </c>
      <c r="AX109" s="69" t="str">
        <f t="shared" si="23"/>
        <v/>
      </c>
      <c r="AY109" s="69" t="str">
        <f t="shared" si="24"/>
        <v/>
      </c>
      <c r="AZ109" s="69" t="str">
        <f t="shared" si="25"/>
        <v/>
      </c>
      <c r="BA109" s="69" t="str">
        <f t="shared" si="26"/>
        <v/>
      </c>
      <c r="BB109" s="69" t="str">
        <f t="shared" si="27"/>
        <v/>
      </c>
      <c r="BC109" s="69" t="str">
        <f t="shared" si="28"/>
        <v/>
      </c>
      <c r="BD109" s="70" t="str">
        <f t="shared" si="29"/>
        <v/>
      </c>
      <c r="BE109" s="70" t="str">
        <f t="shared" si="30"/>
        <v/>
      </c>
      <c r="BF109" s="1" t="str">
        <f t="shared" si="31"/>
        <v/>
      </c>
      <c r="BG109" s="1" t="str">
        <f t="shared" si="32"/>
        <v/>
      </c>
      <c r="BH109" s="1" t="str">
        <f t="shared" si="33"/>
        <v/>
      </c>
      <c r="BI109" s="1" t="str">
        <f t="shared" si="34"/>
        <v/>
      </c>
      <c r="BJ109" s="1" t="str">
        <f t="shared" si="35"/>
        <v/>
      </c>
      <c r="BK109" s="1" t="str">
        <f t="shared" si="36"/>
        <v/>
      </c>
      <c r="BL109" s="1" t="str">
        <f t="shared" si="37"/>
        <v/>
      </c>
      <c r="BM109" s="1" t="str">
        <f t="shared" si="38"/>
        <v/>
      </c>
      <c r="BN109" s="1" t="str">
        <f t="shared" si="39"/>
        <v/>
      </c>
      <c r="BO109" s="1" t="str">
        <f t="shared" si="40"/>
        <v/>
      </c>
      <c r="BP109" s="1" t="str">
        <f t="shared" si="41"/>
        <v/>
      </c>
      <c r="BQ109" s="1" t="str">
        <f t="shared" si="42"/>
        <v/>
      </c>
      <c r="BR109" s="1" t="str">
        <f t="shared" si="43"/>
        <v/>
      </c>
      <c r="BS109" s="1" t="str">
        <f t="shared" si="44"/>
        <v/>
      </c>
      <c r="BT109" s="1"/>
      <c r="BU109" s="1"/>
      <c r="BV109" s="1"/>
      <c r="BW109" s="1"/>
      <c r="BX109" s="1"/>
    </row>
    <row r="110">
      <c r="A110" s="1"/>
      <c r="B110" s="148" t="str">
        <f t="array" ref="B110">IFERROR(INDEX('DB(読み込みシート※編集厳禁)'!$A$3:$AH$501,MATCH($C110,'DB(読み込みシート※編集厳禁)'!$B$3:$B$501,0),MATCH(B$14,'DB(読み込みシート※編集厳禁)'!$A$2:$AH$2,0)),"")</f>
        <v/>
      </c>
      <c r="C110" s="149">
        <v>94.0</v>
      </c>
      <c r="D110" s="169" t="str">
        <f t="array" ref="D110">IFERROR(INDEX('DB(読み込みシート※編集厳禁)'!$A$3:$AH$501,MATCH($C110,'DB(読み込みシート※編集厳禁)'!$B$3:$B$501,0),MATCH(D$14,'DB(読み込みシート※編集厳禁)'!$A$2:$AH$2,0)),"")</f>
        <v/>
      </c>
      <c r="E110" s="170" t="str">
        <f t="array" ref="E110">IFERROR(INDEX('DB(読み込みシート※編集厳禁)'!$A$3:$AH$501,MATCH($C110,'DB(読み込みシート※編集厳禁)'!$B$3:$B$501,0),MATCH(E$14,'DB(読み込みシート※編集厳禁)'!$A$2:$AH$2,0)),"")</f>
        <v/>
      </c>
      <c r="F110" s="171" t="str">
        <f t="array" ref="F110">IFERROR(INDEX('DB(読み込みシート※編集厳禁)'!$A$3:$AH$501,MATCH($C110,'DB(読み込みシート※編集厳禁)'!$B$3:$B$501,0),MATCH(F$14,'DB(読み込みシート※編集厳禁)'!$A$2:$AH$2,0)),"")</f>
        <v/>
      </c>
      <c r="G110" s="133" t="str">
        <f t="shared" si="8"/>
        <v/>
      </c>
      <c r="H110" s="152" t="str">
        <f t="shared" si="9"/>
        <v>:00:000</v>
      </c>
      <c r="I110" s="135"/>
      <c r="J110" s="166"/>
      <c r="K110" s="137" t="s">
        <v>15</v>
      </c>
      <c r="L110" s="138" t="str">
        <f t="shared" si="10"/>
        <v/>
      </c>
      <c r="M110" s="139" t="str">
        <f t="shared" si="11"/>
        <v/>
      </c>
      <c r="N110" s="140" t="str">
        <f t="shared" si="12"/>
        <v/>
      </c>
      <c r="O110" s="141" t="str">
        <f t="shared" si="13"/>
        <v/>
      </c>
      <c r="P110" s="162" t="str">
        <f t="shared" si="14"/>
        <v>:00:000</v>
      </c>
      <c r="Q110" s="148" t="str">
        <f t="array" ref="Q110">IFERROR(INDEX('DB(読み込みシート※編集厳禁)'!$A$3:$AH$501,MATCH($C110,'DB(読み込みシート※編集厳禁)'!$B$3:$B$501,0),MATCH(Q$14,'DB(読み込みシート※編集厳禁)'!$A$2:$AH$2,0)),"")</f>
        <v/>
      </c>
      <c r="R110" s="149">
        <v>94.0</v>
      </c>
      <c r="S110" s="169" t="str">
        <f t="array" ref="S110">IFERROR(INDEX('DB(読み込みシート※編集厳禁)'!$A$3:$AH$501,MATCH($C110,'DB(読み込みシート※編集厳禁)'!$B$3:$B$501,0),MATCH(S$14,'DB(読み込みシート※編集厳禁)'!$A$2:$AH$2,0)),"")</f>
        <v/>
      </c>
      <c r="T110" s="170" t="str">
        <f t="array" ref="T110">IFERROR(INDEX('DB(読み込みシート※編集厳禁)'!$A$3:$AH$501,MATCH($C110,'DB(読み込みシート※編集厳禁)'!$B$3:$B$501,0),MATCH(T$14,'DB(読み込みシート※編集厳禁)'!$A$2:$AH$2,0)),"")</f>
        <v/>
      </c>
      <c r="U110" s="135"/>
      <c r="V110" s="166"/>
      <c r="W110" s="137" t="s">
        <v>15</v>
      </c>
      <c r="X110" s="138" t="str">
        <f t="shared" si="15"/>
        <v/>
      </c>
      <c r="Y110" s="139" t="str">
        <f t="shared" si="16"/>
        <v/>
      </c>
      <c r="Z110" s="144" t="str">
        <f t="shared" si="17"/>
        <v/>
      </c>
      <c r="AA110" s="1"/>
      <c r="AB110" s="6"/>
      <c r="AC110" s="6"/>
      <c r="AD110" s="6"/>
      <c r="AE110" s="6"/>
      <c r="AF110" s="6"/>
      <c r="AG110" s="6" t="str">
        <f t="shared" si="18"/>
        <v/>
      </c>
      <c r="AH110" s="6" t="str">
        <f t="shared" si="19"/>
        <v/>
      </c>
      <c r="AI110" s="6" t="str">
        <f t="shared" si="20"/>
        <v>-</v>
      </c>
      <c r="AJ110" s="6"/>
      <c r="AK110" s="6" t="str">
        <f t="shared" si="21"/>
        <v/>
      </c>
      <c r="AL110" s="6"/>
      <c r="AM110" s="6"/>
      <c r="AN110" s="6"/>
      <c r="AO110" s="6"/>
      <c r="AP110" s="6"/>
      <c r="AQ110" s="7"/>
      <c r="AR110" s="69"/>
      <c r="AS110" s="69"/>
      <c r="AT110" s="39">
        <v>94.0</v>
      </c>
      <c r="AU110" s="69" t="str">
        <f t="array" ref="AU110">IFERROR(INDEX('DB(読み込みシート※編集厳禁)'!$A$3:$AH$501,MATCH($C110,'DB(読み込みシート※編集厳禁)'!$B$3:$B$501,0),MATCH(AU$16,'DB(読み込みシート※編集厳禁)'!$A$2:$AH$2,0)),"")</f>
        <v/>
      </c>
      <c r="AV110" s="69" t="str">
        <f t="array" ref="AV110">IFERROR(INDEX('DB(読み込みシート※編集厳禁)'!$A$3:$AH$501,MATCH($C110,'DB(読み込みシート※編集厳禁)'!$B$3:$B$501,0),MATCH(AV$16,'DB(読み込みシート※編集厳禁)'!$A$2:$AH$2,0)),"")</f>
        <v/>
      </c>
      <c r="AW110" s="69" t="str">
        <f t="shared" si="22"/>
        <v/>
      </c>
      <c r="AX110" s="69" t="str">
        <f t="shared" si="23"/>
        <v/>
      </c>
      <c r="AY110" s="69" t="str">
        <f t="shared" si="24"/>
        <v/>
      </c>
      <c r="AZ110" s="69" t="str">
        <f t="shared" si="25"/>
        <v/>
      </c>
      <c r="BA110" s="69" t="str">
        <f t="shared" si="26"/>
        <v/>
      </c>
      <c r="BB110" s="69" t="str">
        <f t="shared" si="27"/>
        <v/>
      </c>
      <c r="BC110" s="69" t="str">
        <f t="shared" si="28"/>
        <v/>
      </c>
      <c r="BD110" s="70" t="str">
        <f t="shared" si="29"/>
        <v/>
      </c>
      <c r="BE110" s="70" t="str">
        <f t="shared" si="30"/>
        <v/>
      </c>
      <c r="BF110" s="1" t="str">
        <f t="shared" si="31"/>
        <v/>
      </c>
      <c r="BG110" s="1" t="str">
        <f t="shared" si="32"/>
        <v/>
      </c>
      <c r="BH110" s="1" t="str">
        <f t="shared" si="33"/>
        <v/>
      </c>
      <c r="BI110" s="1" t="str">
        <f t="shared" si="34"/>
        <v/>
      </c>
      <c r="BJ110" s="1" t="str">
        <f t="shared" si="35"/>
        <v/>
      </c>
      <c r="BK110" s="1" t="str">
        <f t="shared" si="36"/>
        <v/>
      </c>
      <c r="BL110" s="1" t="str">
        <f t="shared" si="37"/>
        <v/>
      </c>
      <c r="BM110" s="1" t="str">
        <f t="shared" si="38"/>
        <v/>
      </c>
      <c r="BN110" s="1" t="str">
        <f t="shared" si="39"/>
        <v/>
      </c>
      <c r="BO110" s="1" t="str">
        <f t="shared" si="40"/>
        <v/>
      </c>
      <c r="BP110" s="1" t="str">
        <f t="shared" si="41"/>
        <v/>
      </c>
      <c r="BQ110" s="1" t="str">
        <f t="shared" si="42"/>
        <v/>
      </c>
      <c r="BR110" s="1" t="str">
        <f t="shared" si="43"/>
        <v/>
      </c>
      <c r="BS110" s="1" t="str">
        <f t="shared" si="44"/>
        <v/>
      </c>
      <c r="BT110" s="1"/>
      <c r="BU110" s="1"/>
      <c r="BV110" s="1"/>
      <c r="BW110" s="1"/>
      <c r="BX110" s="1"/>
    </row>
    <row r="111">
      <c r="A111" s="1"/>
      <c r="B111" s="148" t="str">
        <f t="array" ref="B111">IFERROR(INDEX('DB(読み込みシート※編集厳禁)'!$A$3:$AH$501,MATCH($C111,'DB(読み込みシート※編集厳禁)'!$B$3:$B$501,0),MATCH(B$14,'DB(読み込みシート※編集厳禁)'!$A$2:$AH$2,0)),"")</f>
        <v/>
      </c>
      <c r="C111" s="149">
        <v>95.0</v>
      </c>
      <c r="D111" s="169" t="str">
        <f t="array" ref="D111">IFERROR(INDEX('DB(読み込みシート※編集厳禁)'!$A$3:$AH$501,MATCH($C111,'DB(読み込みシート※編集厳禁)'!$B$3:$B$501,0),MATCH(D$14,'DB(読み込みシート※編集厳禁)'!$A$2:$AH$2,0)),"")</f>
        <v/>
      </c>
      <c r="E111" s="170" t="str">
        <f t="array" ref="E111">IFERROR(INDEX('DB(読み込みシート※編集厳禁)'!$A$3:$AH$501,MATCH($C111,'DB(読み込みシート※編集厳禁)'!$B$3:$B$501,0),MATCH(E$14,'DB(読み込みシート※編集厳禁)'!$A$2:$AH$2,0)),"")</f>
        <v/>
      </c>
      <c r="F111" s="171" t="str">
        <f t="array" ref="F111">IFERROR(INDEX('DB(読み込みシート※編集厳禁)'!$A$3:$AH$501,MATCH($C111,'DB(読み込みシート※編集厳禁)'!$B$3:$B$501,0),MATCH(F$14,'DB(読み込みシート※編集厳禁)'!$A$2:$AH$2,0)),"")</f>
        <v/>
      </c>
      <c r="G111" s="133" t="str">
        <f t="shared" si="8"/>
        <v/>
      </c>
      <c r="H111" s="152" t="str">
        <f t="shared" si="9"/>
        <v>:00:000</v>
      </c>
      <c r="I111" s="135"/>
      <c r="J111" s="166"/>
      <c r="K111" s="137" t="s">
        <v>15</v>
      </c>
      <c r="L111" s="138" t="str">
        <f t="shared" si="10"/>
        <v/>
      </c>
      <c r="M111" s="139" t="str">
        <f t="shared" si="11"/>
        <v/>
      </c>
      <c r="N111" s="140" t="str">
        <f t="shared" si="12"/>
        <v/>
      </c>
      <c r="O111" s="141" t="str">
        <f t="shared" si="13"/>
        <v/>
      </c>
      <c r="P111" s="162" t="str">
        <f t="shared" si="14"/>
        <v>:00:000</v>
      </c>
      <c r="Q111" s="148" t="str">
        <f t="array" ref="Q111">IFERROR(INDEX('DB(読み込みシート※編集厳禁)'!$A$3:$AH$501,MATCH($C111,'DB(読み込みシート※編集厳禁)'!$B$3:$B$501,0),MATCH(Q$14,'DB(読み込みシート※編集厳禁)'!$A$2:$AH$2,0)),"")</f>
        <v/>
      </c>
      <c r="R111" s="149">
        <v>95.0</v>
      </c>
      <c r="S111" s="169" t="str">
        <f t="array" ref="S111">IFERROR(INDEX('DB(読み込みシート※編集厳禁)'!$A$3:$AH$501,MATCH($C111,'DB(読み込みシート※編集厳禁)'!$B$3:$B$501,0),MATCH(S$14,'DB(読み込みシート※編集厳禁)'!$A$2:$AH$2,0)),"")</f>
        <v/>
      </c>
      <c r="T111" s="170" t="str">
        <f t="array" ref="T111">IFERROR(INDEX('DB(読み込みシート※編集厳禁)'!$A$3:$AH$501,MATCH($C111,'DB(読み込みシート※編集厳禁)'!$B$3:$B$501,0),MATCH(T$14,'DB(読み込みシート※編集厳禁)'!$A$2:$AH$2,0)),"")</f>
        <v/>
      </c>
      <c r="U111" s="135"/>
      <c r="V111" s="166"/>
      <c r="W111" s="137" t="s">
        <v>15</v>
      </c>
      <c r="X111" s="138" t="str">
        <f t="shared" si="15"/>
        <v/>
      </c>
      <c r="Y111" s="139" t="str">
        <f t="shared" si="16"/>
        <v/>
      </c>
      <c r="Z111" s="144" t="str">
        <f t="shared" si="17"/>
        <v/>
      </c>
      <c r="AA111" s="1"/>
      <c r="AB111" s="6"/>
      <c r="AC111" s="6"/>
      <c r="AD111" s="6"/>
      <c r="AE111" s="6"/>
      <c r="AF111" s="6"/>
      <c r="AG111" s="6" t="str">
        <f t="shared" si="18"/>
        <v/>
      </c>
      <c r="AH111" s="6" t="str">
        <f t="shared" si="19"/>
        <v/>
      </c>
      <c r="AI111" s="6" t="str">
        <f t="shared" si="20"/>
        <v>-</v>
      </c>
      <c r="AJ111" s="6"/>
      <c r="AK111" s="6" t="str">
        <f t="shared" si="21"/>
        <v/>
      </c>
      <c r="AL111" s="6"/>
      <c r="AM111" s="6"/>
      <c r="AN111" s="6"/>
      <c r="AO111" s="6"/>
      <c r="AP111" s="6"/>
      <c r="AQ111" s="7"/>
      <c r="AR111" s="69"/>
      <c r="AS111" s="69"/>
      <c r="AT111" s="39">
        <v>95.0</v>
      </c>
      <c r="AU111" s="69" t="str">
        <f t="array" ref="AU111">IFERROR(INDEX('DB(読み込みシート※編集厳禁)'!$A$3:$AH$501,MATCH($C111,'DB(読み込みシート※編集厳禁)'!$B$3:$B$501,0),MATCH(AU$16,'DB(読み込みシート※編集厳禁)'!$A$2:$AH$2,0)),"")</f>
        <v/>
      </c>
      <c r="AV111" s="69" t="str">
        <f t="array" ref="AV111">IFERROR(INDEX('DB(読み込みシート※編集厳禁)'!$A$3:$AH$501,MATCH($C111,'DB(読み込みシート※編集厳禁)'!$B$3:$B$501,0),MATCH(AV$16,'DB(読み込みシート※編集厳禁)'!$A$2:$AH$2,0)),"")</f>
        <v/>
      </c>
      <c r="AW111" s="69" t="str">
        <f t="shared" si="22"/>
        <v/>
      </c>
      <c r="AX111" s="69" t="str">
        <f t="shared" si="23"/>
        <v/>
      </c>
      <c r="AY111" s="69" t="str">
        <f t="shared" si="24"/>
        <v/>
      </c>
      <c r="AZ111" s="69" t="str">
        <f t="shared" si="25"/>
        <v/>
      </c>
      <c r="BA111" s="69" t="str">
        <f t="shared" si="26"/>
        <v/>
      </c>
      <c r="BB111" s="69" t="str">
        <f t="shared" si="27"/>
        <v/>
      </c>
      <c r="BC111" s="69" t="str">
        <f t="shared" si="28"/>
        <v/>
      </c>
      <c r="BD111" s="70" t="str">
        <f t="shared" ref="BD111:BD116" si="53">IFERROR(IF($D111="","",IF(BH111="","-",IF(K111="MC",IF(W111="MC","-", 1+((BH111-$BH$9)/$BH$9)),1+((BH111-$BH$9)/$BH$9)))),"-")</f>
        <v/>
      </c>
      <c r="BE111" s="70" t="str">
        <f t="shared" si="30"/>
        <v/>
      </c>
      <c r="BF111" s="1" t="str">
        <f t="shared" si="31"/>
        <v/>
      </c>
      <c r="BG111" s="1" t="str">
        <f t="shared" si="32"/>
        <v/>
      </c>
      <c r="BH111" s="1" t="str">
        <f t="shared" si="33"/>
        <v/>
      </c>
      <c r="BI111" s="1" t="str">
        <f t="shared" si="34"/>
        <v/>
      </c>
      <c r="BJ111" s="1" t="str">
        <f t="shared" si="35"/>
        <v/>
      </c>
      <c r="BK111" s="1" t="str">
        <f t="shared" si="36"/>
        <v/>
      </c>
      <c r="BL111" s="1" t="str">
        <f t="shared" ref="BL111:BL116" si="54">IFERROR(IF($D111="","",IF(BK111&gt;=900000000000,"-",COUNTIFS($BK$17:$BK$116,"&lt;"&amp;BK111)+1),""),"")</f>
        <v/>
      </c>
      <c r="BM111" s="1" t="str">
        <f t="shared" si="38"/>
        <v/>
      </c>
      <c r="BN111" s="1" t="str">
        <f t="shared" ref="BN111:BN116" si="55">IFERROR(IF($D111="","",IF(BK111&gt;=900000000000,"-",COUNTIFS($BK$17:$BK$116,"&lt;"&amp;BK111,$B$17:$B$116,B111)+1),""),"")</f>
        <v/>
      </c>
      <c r="BO111" s="1" t="str">
        <f t="shared" si="40"/>
        <v/>
      </c>
      <c r="BP111" s="1" t="str">
        <f t="shared" ref="BP111:BP116" si="56">IF($D111="","",IFERROR(IF(AU111="いいえ","-",IF(BK111&gt;=900000000000,"-",COUNTIFS($BK$17:$BK$116,"&lt;"&amp;BK111,$AU$17:$AU$116,"はい")+1)),""))</f>
        <v/>
      </c>
      <c r="BQ111" s="1" t="str">
        <f t="shared" si="42"/>
        <v/>
      </c>
      <c r="BR111" s="1" t="str">
        <f t="shared" ref="BR111:BR116" si="57">IF($D111="","",IFERROR(IF(AV111="いいえ","-",IF(BK111&gt;=900000000000,"-",COUNTIFS($BK$17:$BK$116,"&lt;"&amp;BK111,$AV$17:$AV$116,"はい")+1)),""))</f>
        <v/>
      </c>
      <c r="BS111" s="1" t="str">
        <f t="shared" si="44"/>
        <v/>
      </c>
      <c r="BT111" s="1"/>
      <c r="BU111" s="1"/>
      <c r="BV111" s="1"/>
      <c r="BW111" s="1"/>
      <c r="BX111" s="1"/>
    </row>
    <row r="112">
      <c r="A112" s="1"/>
      <c r="B112" s="148" t="str">
        <f t="array" ref="B112">IFERROR(INDEX('DB(読み込みシート※編集厳禁)'!$A$3:$AH$501,MATCH($C112,'DB(読み込みシート※編集厳禁)'!$B$3:$B$501,0),MATCH(B$14,'DB(読み込みシート※編集厳禁)'!$A$2:$AH$2,0)),"")</f>
        <v/>
      </c>
      <c r="C112" s="149">
        <v>96.0</v>
      </c>
      <c r="D112" s="169" t="str">
        <f t="array" ref="D112">IFERROR(INDEX('DB(読み込みシート※編集厳禁)'!$A$3:$AH$501,MATCH($C112,'DB(読み込みシート※編集厳禁)'!$B$3:$B$501,0),MATCH(D$14,'DB(読み込みシート※編集厳禁)'!$A$2:$AH$2,0)),"")</f>
        <v/>
      </c>
      <c r="E112" s="170" t="str">
        <f t="array" ref="E112">IFERROR(INDEX('DB(読み込みシート※編集厳禁)'!$A$3:$AH$501,MATCH($C112,'DB(読み込みシート※編集厳禁)'!$B$3:$B$501,0),MATCH(E$14,'DB(読み込みシート※編集厳禁)'!$A$2:$AH$2,0)),"")</f>
        <v/>
      </c>
      <c r="F112" s="171" t="str">
        <f t="array" ref="F112">IFERROR(INDEX('DB(読み込みシート※編集厳禁)'!$A$3:$AH$501,MATCH($C112,'DB(読み込みシート※編集厳禁)'!$B$3:$B$501,0),MATCH(F$14,'DB(読み込みシート※編集厳禁)'!$A$2:$AH$2,0)),"")</f>
        <v/>
      </c>
      <c r="G112" s="133" t="str">
        <f t="shared" si="8"/>
        <v/>
      </c>
      <c r="H112" s="152" t="str">
        <f t="shared" si="9"/>
        <v>:00:000</v>
      </c>
      <c r="I112" s="135"/>
      <c r="J112" s="166"/>
      <c r="K112" s="137" t="s">
        <v>15</v>
      </c>
      <c r="L112" s="138" t="str">
        <f t="shared" si="10"/>
        <v/>
      </c>
      <c r="M112" s="139" t="str">
        <f t="shared" si="11"/>
        <v/>
      </c>
      <c r="N112" s="140" t="str">
        <f t="shared" si="12"/>
        <v/>
      </c>
      <c r="O112" s="141" t="str">
        <f t="shared" si="13"/>
        <v/>
      </c>
      <c r="P112" s="162" t="str">
        <f t="shared" si="14"/>
        <v>:00:000</v>
      </c>
      <c r="Q112" s="148" t="str">
        <f t="array" ref="Q112">IFERROR(INDEX('DB(読み込みシート※編集厳禁)'!$A$3:$AH$501,MATCH($C112,'DB(読み込みシート※編集厳禁)'!$B$3:$B$501,0),MATCH(Q$14,'DB(読み込みシート※編集厳禁)'!$A$2:$AH$2,0)),"")</f>
        <v/>
      </c>
      <c r="R112" s="149">
        <v>96.0</v>
      </c>
      <c r="S112" s="169" t="str">
        <f t="array" ref="S112">IFERROR(INDEX('DB(読み込みシート※編集厳禁)'!$A$3:$AH$501,MATCH($C112,'DB(読み込みシート※編集厳禁)'!$B$3:$B$501,0),MATCH(S$14,'DB(読み込みシート※編集厳禁)'!$A$2:$AH$2,0)),"")</f>
        <v/>
      </c>
      <c r="T112" s="170" t="str">
        <f t="array" ref="T112">IFERROR(INDEX('DB(読み込みシート※編集厳禁)'!$A$3:$AH$501,MATCH($C112,'DB(読み込みシート※編集厳禁)'!$B$3:$B$501,0),MATCH(T$14,'DB(読み込みシート※編集厳禁)'!$A$2:$AH$2,0)),"")</f>
        <v/>
      </c>
      <c r="U112" s="135"/>
      <c r="V112" s="166"/>
      <c r="W112" s="137" t="s">
        <v>15</v>
      </c>
      <c r="X112" s="138" t="str">
        <f t="shared" si="15"/>
        <v/>
      </c>
      <c r="Y112" s="139" t="str">
        <f t="shared" si="16"/>
        <v/>
      </c>
      <c r="Z112" s="144" t="str">
        <f t="shared" si="17"/>
        <v/>
      </c>
      <c r="AA112" s="1"/>
      <c r="AB112" s="6"/>
      <c r="AC112" s="6"/>
      <c r="AD112" s="6"/>
      <c r="AE112" s="6"/>
      <c r="AF112" s="6"/>
      <c r="AG112" s="6" t="str">
        <f t="shared" si="18"/>
        <v/>
      </c>
      <c r="AH112" s="6" t="str">
        <f t="shared" si="19"/>
        <v/>
      </c>
      <c r="AI112" s="6" t="str">
        <f t="shared" si="20"/>
        <v>-</v>
      </c>
      <c r="AJ112" s="6"/>
      <c r="AK112" s="6" t="str">
        <f t="shared" si="21"/>
        <v/>
      </c>
      <c r="AL112" s="6"/>
      <c r="AM112" s="6"/>
      <c r="AN112" s="6"/>
      <c r="AO112" s="6"/>
      <c r="AP112" s="6"/>
      <c r="AQ112" s="7"/>
      <c r="AR112" s="69"/>
      <c r="AS112" s="69"/>
      <c r="AT112" s="39">
        <v>96.0</v>
      </c>
      <c r="AU112" s="69" t="str">
        <f t="array" ref="AU112">IFERROR(INDEX('DB(読み込みシート※編集厳禁)'!$A$3:$AH$501,MATCH($C112,'DB(読み込みシート※編集厳禁)'!$B$3:$B$501,0),MATCH(AU$16,'DB(読み込みシート※編集厳禁)'!$A$2:$AH$2,0)),"")</f>
        <v/>
      </c>
      <c r="AV112" s="69" t="str">
        <f t="array" ref="AV112">IFERROR(INDEX('DB(読み込みシート※編集厳禁)'!$A$3:$AH$501,MATCH($C112,'DB(読み込みシート※編集厳禁)'!$B$3:$B$501,0),MATCH(AV$16,'DB(読み込みシート※編集厳禁)'!$A$2:$AH$2,0)),"")</f>
        <v/>
      </c>
      <c r="AW112" s="69" t="str">
        <f t="shared" si="22"/>
        <v/>
      </c>
      <c r="AX112" s="69" t="str">
        <f t="shared" si="23"/>
        <v/>
      </c>
      <c r="AY112" s="69" t="str">
        <f t="shared" si="24"/>
        <v/>
      </c>
      <c r="AZ112" s="69" t="str">
        <f t="shared" si="25"/>
        <v/>
      </c>
      <c r="BA112" s="69" t="str">
        <f t="shared" si="26"/>
        <v/>
      </c>
      <c r="BB112" s="69" t="str">
        <f t="shared" si="27"/>
        <v/>
      </c>
      <c r="BC112" s="69" t="str">
        <f t="shared" si="28"/>
        <v/>
      </c>
      <c r="BD112" s="70" t="str">
        <f t="shared" si="53"/>
        <v/>
      </c>
      <c r="BE112" s="70" t="str">
        <f t="shared" si="30"/>
        <v/>
      </c>
      <c r="BF112" s="1" t="str">
        <f t="shared" si="31"/>
        <v/>
      </c>
      <c r="BG112" s="1" t="str">
        <f t="shared" si="32"/>
        <v/>
      </c>
      <c r="BH112" s="1" t="str">
        <f t="shared" si="33"/>
        <v/>
      </c>
      <c r="BI112" s="1" t="str">
        <f t="shared" si="34"/>
        <v/>
      </c>
      <c r="BJ112" s="1" t="str">
        <f t="shared" si="35"/>
        <v/>
      </c>
      <c r="BK112" s="1" t="str">
        <f t="shared" si="36"/>
        <v/>
      </c>
      <c r="BL112" s="1" t="str">
        <f t="shared" si="54"/>
        <v/>
      </c>
      <c r="BM112" s="1" t="str">
        <f t="shared" si="38"/>
        <v/>
      </c>
      <c r="BN112" s="1" t="str">
        <f t="shared" si="55"/>
        <v/>
      </c>
      <c r="BO112" s="1" t="str">
        <f t="shared" si="40"/>
        <v/>
      </c>
      <c r="BP112" s="1" t="str">
        <f t="shared" si="56"/>
        <v/>
      </c>
      <c r="BQ112" s="1" t="str">
        <f t="shared" si="42"/>
        <v/>
      </c>
      <c r="BR112" s="1" t="str">
        <f t="shared" si="57"/>
        <v/>
      </c>
      <c r="BS112" s="1" t="str">
        <f t="shared" si="44"/>
        <v/>
      </c>
      <c r="BT112" s="1"/>
      <c r="BU112" s="1"/>
      <c r="BV112" s="1"/>
      <c r="BW112" s="1"/>
      <c r="BX112" s="1"/>
    </row>
    <row r="113">
      <c r="A113" s="1"/>
      <c r="B113" s="148" t="str">
        <f t="array" ref="B113">IFERROR(INDEX('DB(読み込みシート※編集厳禁)'!$A$3:$AH$501,MATCH($C113,'DB(読み込みシート※編集厳禁)'!$B$3:$B$501,0),MATCH(B$14,'DB(読み込みシート※編集厳禁)'!$A$2:$AH$2,0)),"")</f>
        <v/>
      </c>
      <c r="C113" s="149">
        <v>97.0</v>
      </c>
      <c r="D113" s="169" t="str">
        <f t="array" ref="D113">IFERROR(INDEX('DB(読み込みシート※編集厳禁)'!$A$3:$AH$501,MATCH($C113,'DB(読み込みシート※編集厳禁)'!$B$3:$B$501,0),MATCH(D$14,'DB(読み込みシート※編集厳禁)'!$A$2:$AH$2,0)),"")</f>
        <v/>
      </c>
      <c r="E113" s="170" t="str">
        <f t="array" ref="E113">IFERROR(INDEX('DB(読み込みシート※編集厳禁)'!$A$3:$AH$501,MATCH($C113,'DB(読み込みシート※編集厳禁)'!$B$3:$B$501,0),MATCH(E$14,'DB(読み込みシート※編集厳禁)'!$A$2:$AH$2,0)),"")</f>
        <v/>
      </c>
      <c r="F113" s="171" t="str">
        <f t="array" ref="F113">IFERROR(INDEX('DB(読み込みシート※編集厳禁)'!$A$3:$AH$501,MATCH($C113,'DB(読み込みシート※編集厳禁)'!$B$3:$B$501,0),MATCH(F$14,'DB(読み込みシート※編集厳禁)'!$A$2:$AH$2,0)),"")</f>
        <v/>
      </c>
      <c r="G113" s="133" t="str">
        <f t="shared" si="8"/>
        <v/>
      </c>
      <c r="H113" s="152" t="str">
        <f t="shared" si="9"/>
        <v>:00:000</v>
      </c>
      <c r="I113" s="135"/>
      <c r="J113" s="166"/>
      <c r="K113" s="137" t="s">
        <v>15</v>
      </c>
      <c r="L113" s="138" t="str">
        <f t="shared" si="10"/>
        <v/>
      </c>
      <c r="M113" s="139" t="str">
        <f t="shared" si="11"/>
        <v/>
      </c>
      <c r="N113" s="140" t="str">
        <f t="shared" si="12"/>
        <v/>
      </c>
      <c r="O113" s="141" t="str">
        <f t="shared" si="13"/>
        <v/>
      </c>
      <c r="P113" s="162" t="str">
        <f t="shared" si="14"/>
        <v>:00:000</v>
      </c>
      <c r="Q113" s="148" t="str">
        <f t="array" ref="Q113">IFERROR(INDEX('DB(読み込みシート※編集厳禁)'!$A$3:$AH$501,MATCH($C113,'DB(読み込みシート※編集厳禁)'!$B$3:$B$501,0),MATCH(Q$14,'DB(読み込みシート※編集厳禁)'!$A$2:$AH$2,0)),"")</f>
        <v/>
      </c>
      <c r="R113" s="149">
        <v>97.0</v>
      </c>
      <c r="S113" s="169" t="str">
        <f t="array" ref="S113">IFERROR(INDEX('DB(読み込みシート※編集厳禁)'!$A$3:$AH$501,MATCH($C113,'DB(読み込みシート※編集厳禁)'!$B$3:$B$501,0),MATCH(S$14,'DB(読み込みシート※編集厳禁)'!$A$2:$AH$2,0)),"")</f>
        <v/>
      </c>
      <c r="T113" s="170" t="str">
        <f t="array" ref="T113">IFERROR(INDEX('DB(読み込みシート※編集厳禁)'!$A$3:$AH$501,MATCH($C113,'DB(読み込みシート※編集厳禁)'!$B$3:$B$501,0),MATCH(T$14,'DB(読み込みシート※編集厳禁)'!$A$2:$AH$2,0)),"")</f>
        <v/>
      </c>
      <c r="U113" s="135"/>
      <c r="V113" s="166"/>
      <c r="W113" s="137" t="s">
        <v>15</v>
      </c>
      <c r="X113" s="138" t="str">
        <f t="shared" si="15"/>
        <v/>
      </c>
      <c r="Y113" s="139" t="str">
        <f t="shared" si="16"/>
        <v/>
      </c>
      <c r="Z113" s="144" t="str">
        <f t="shared" si="17"/>
        <v/>
      </c>
      <c r="AA113" s="1"/>
      <c r="AB113" s="6"/>
      <c r="AC113" s="6"/>
      <c r="AD113" s="6"/>
      <c r="AE113" s="6"/>
      <c r="AF113" s="6"/>
      <c r="AG113" s="6" t="str">
        <f t="shared" si="18"/>
        <v/>
      </c>
      <c r="AH113" s="6" t="str">
        <f t="shared" si="19"/>
        <v/>
      </c>
      <c r="AI113" s="6" t="str">
        <f t="shared" si="20"/>
        <v>-</v>
      </c>
      <c r="AJ113" s="6"/>
      <c r="AK113" s="6" t="str">
        <f t="shared" si="21"/>
        <v/>
      </c>
      <c r="AL113" s="6"/>
      <c r="AM113" s="6"/>
      <c r="AN113" s="6"/>
      <c r="AO113" s="6"/>
      <c r="AP113" s="6"/>
      <c r="AQ113" s="7"/>
      <c r="AR113" s="69"/>
      <c r="AS113" s="69"/>
      <c r="AT113" s="39">
        <v>97.0</v>
      </c>
      <c r="AU113" s="69" t="str">
        <f t="array" ref="AU113">IFERROR(INDEX('DB(読み込みシート※編集厳禁)'!$A$3:$AH$501,MATCH($C113,'DB(読み込みシート※編集厳禁)'!$B$3:$B$501,0),MATCH(AU$16,'DB(読み込みシート※編集厳禁)'!$A$2:$AH$2,0)),"")</f>
        <v/>
      </c>
      <c r="AV113" s="69" t="str">
        <f t="array" ref="AV113">IFERROR(INDEX('DB(読み込みシート※編集厳禁)'!$A$3:$AH$501,MATCH($C113,'DB(読み込みシート※編集厳禁)'!$B$3:$B$501,0),MATCH(AV$16,'DB(読み込みシート※編集厳禁)'!$A$2:$AH$2,0)),"")</f>
        <v/>
      </c>
      <c r="AW113" s="69" t="str">
        <f t="shared" si="22"/>
        <v/>
      </c>
      <c r="AX113" s="69" t="str">
        <f t="shared" si="23"/>
        <v/>
      </c>
      <c r="AY113" s="69" t="str">
        <f t="shared" si="24"/>
        <v/>
      </c>
      <c r="AZ113" s="69" t="str">
        <f t="shared" si="25"/>
        <v/>
      </c>
      <c r="BA113" s="69" t="str">
        <f t="shared" si="26"/>
        <v/>
      </c>
      <c r="BB113" s="69" t="str">
        <f t="shared" si="27"/>
        <v/>
      </c>
      <c r="BC113" s="69" t="str">
        <f t="shared" si="28"/>
        <v/>
      </c>
      <c r="BD113" s="70" t="str">
        <f t="shared" si="53"/>
        <v/>
      </c>
      <c r="BE113" s="70" t="str">
        <f t="shared" si="30"/>
        <v/>
      </c>
      <c r="BF113" s="1" t="str">
        <f t="shared" si="31"/>
        <v/>
      </c>
      <c r="BG113" s="1" t="str">
        <f t="shared" si="32"/>
        <v/>
      </c>
      <c r="BH113" s="1" t="str">
        <f t="shared" si="33"/>
        <v/>
      </c>
      <c r="BI113" s="1" t="str">
        <f t="shared" si="34"/>
        <v/>
      </c>
      <c r="BJ113" s="1" t="str">
        <f t="shared" si="35"/>
        <v/>
      </c>
      <c r="BK113" s="1" t="str">
        <f t="shared" si="36"/>
        <v/>
      </c>
      <c r="BL113" s="1" t="str">
        <f t="shared" si="54"/>
        <v/>
      </c>
      <c r="BM113" s="1" t="str">
        <f t="shared" si="38"/>
        <v/>
      </c>
      <c r="BN113" s="1" t="str">
        <f t="shared" si="55"/>
        <v/>
      </c>
      <c r="BO113" s="1" t="str">
        <f t="shared" si="40"/>
        <v/>
      </c>
      <c r="BP113" s="1" t="str">
        <f t="shared" si="56"/>
        <v/>
      </c>
      <c r="BQ113" s="1" t="str">
        <f t="shared" si="42"/>
        <v/>
      </c>
      <c r="BR113" s="1" t="str">
        <f t="shared" si="57"/>
        <v/>
      </c>
      <c r="BS113" s="1" t="str">
        <f t="shared" si="44"/>
        <v/>
      </c>
      <c r="BT113" s="1"/>
      <c r="BU113" s="1"/>
      <c r="BV113" s="1"/>
      <c r="BW113" s="1"/>
      <c r="BX113" s="1"/>
    </row>
    <row r="114">
      <c r="A114" s="1"/>
      <c r="B114" s="148" t="str">
        <f t="array" ref="B114">IFERROR(INDEX('DB(読み込みシート※編集厳禁)'!$A$3:$AH$501,MATCH($C114,'DB(読み込みシート※編集厳禁)'!$B$3:$B$501,0),MATCH(B$14,'DB(読み込みシート※編集厳禁)'!$A$2:$AH$2,0)),"")</f>
        <v/>
      </c>
      <c r="C114" s="149">
        <v>98.0</v>
      </c>
      <c r="D114" s="169" t="str">
        <f t="array" ref="D114">IFERROR(INDEX('DB(読み込みシート※編集厳禁)'!$A$3:$AH$501,MATCH($C114,'DB(読み込みシート※編集厳禁)'!$B$3:$B$501,0),MATCH(D$14,'DB(読み込みシート※編集厳禁)'!$A$2:$AH$2,0)),"")</f>
        <v/>
      </c>
      <c r="E114" s="170" t="str">
        <f t="array" ref="E114">IFERROR(INDEX('DB(読み込みシート※編集厳禁)'!$A$3:$AH$501,MATCH($C114,'DB(読み込みシート※編集厳禁)'!$B$3:$B$501,0),MATCH(E$14,'DB(読み込みシート※編集厳禁)'!$A$2:$AH$2,0)),"")</f>
        <v/>
      </c>
      <c r="F114" s="171" t="str">
        <f t="array" ref="F114">IFERROR(INDEX('DB(読み込みシート※編集厳禁)'!$A$3:$AH$501,MATCH($C114,'DB(読み込みシート※編集厳禁)'!$B$3:$B$501,0),MATCH(F$14,'DB(読み込みシート※編集厳禁)'!$A$2:$AH$2,0)),"")</f>
        <v/>
      </c>
      <c r="G114" s="133" t="str">
        <f t="shared" si="8"/>
        <v/>
      </c>
      <c r="H114" s="152" t="str">
        <f t="shared" si="9"/>
        <v>:00:000</v>
      </c>
      <c r="I114" s="135"/>
      <c r="J114" s="166"/>
      <c r="K114" s="137" t="s">
        <v>15</v>
      </c>
      <c r="L114" s="138" t="str">
        <f t="shared" si="10"/>
        <v/>
      </c>
      <c r="M114" s="139" t="str">
        <f t="shared" si="11"/>
        <v/>
      </c>
      <c r="N114" s="140" t="str">
        <f t="shared" si="12"/>
        <v/>
      </c>
      <c r="O114" s="141" t="str">
        <f t="shared" si="13"/>
        <v/>
      </c>
      <c r="P114" s="162" t="str">
        <f t="shared" si="14"/>
        <v>:00:000</v>
      </c>
      <c r="Q114" s="148" t="str">
        <f t="array" ref="Q114">IFERROR(INDEX('DB(読み込みシート※編集厳禁)'!$A$3:$AH$501,MATCH($C114,'DB(読み込みシート※編集厳禁)'!$B$3:$B$501,0),MATCH(Q$14,'DB(読み込みシート※編集厳禁)'!$A$2:$AH$2,0)),"")</f>
        <v/>
      </c>
      <c r="R114" s="149">
        <v>98.0</v>
      </c>
      <c r="S114" s="169" t="str">
        <f t="array" ref="S114">IFERROR(INDEX('DB(読み込みシート※編集厳禁)'!$A$3:$AH$501,MATCH($C114,'DB(読み込みシート※編集厳禁)'!$B$3:$B$501,0),MATCH(S$14,'DB(読み込みシート※編集厳禁)'!$A$2:$AH$2,0)),"")</f>
        <v/>
      </c>
      <c r="T114" s="170" t="str">
        <f t="array" ref="T114">IFERROR(INDEX('DB(読み込みシート※編集厳禁)'!$A$3:$AH$501,MATCH($C114,'DB(読み込みシート※編集厳禁)'!$B$3:$B$501,0),MATCH(T$14,'DB(読み込みシート※編集厳禁)'!$A$2:$AH$2,0)),"")</f>
        <v/>
      </c>
      <c r="U114" s="135"/>
      <c r="V114" s="166"/>
      <c r="W114" s="137" t="s">
        <v>15</v>
      </c>
      <c r="X114" s="138" t="str">
        <f t="shared" si="15"/>
        <v/>
      </c>
      <c r="Y114" s="139" t="str">
        <f t="shared" si="16"/>
        <v/>
      </c>
      <c r="Z114" s="144" t="str">
        <f t="shared" si="17"/>
        <v/>
      </c>
      <c r="AA114" s="1"/>
      <c r="AB114" s="6"/>
      <c r="AC114" s="6"/>
      <c r="AD114" s="6"/>
      <c r="AE114" s="6"/>
      <c r="AF114" s="6"/>
      <c r="AG114" s="6" t="str">
        <f t="shared" si="18"/>
        <v/>
      </c>
      <c r="AH114" s="6" t="str">
        <f t="shared" si="19"/>
        <v/>
      </c>
      <c r="AI114" s="6" t="str">
        <f t="shared" si="20"/>
        <v>-</v>
      </c>
      <c r="AJ114" s="6"/>
      <c r="AK114" s="6" t="str">
        <f t="shared" si="21"/>
        <v/>
      </c>
      <c r="AL114" s="6"/>
      <c r="AM114" s="6"/>
      <c r="AN114" s="6"/>
      <c r="AO114" s="6"/>
      <c r="AP114" s="6"/>
      <c r="AQ114" s="7"/>
      <c r="AR114" s="69"/>
      <c r="AS114" s="69"/>
      <c r="AT114" s="39">
        <v>98.0</v>
      </c>
      <c r="AU114" s="69" t="str">
        <f t="array" ref="AU114">IFERROR(INDEX('DB(読み込みシート※編集厳禁)'!$A$3:$AH$501,MATCH($C114,'DB(読み込みシート※編集厳禁)'!$B$3:$B$501,0),MATCH(AU$16,'DB(読み込みシート※編集厳禁)'!$A$2:$AH$2,0)),"")</f>
        <v/>
      </c>
      <c r="AV114" s="69" t="str">
        <f t="array" ref="AV114">IFERROR(INDEX('DB(読み込みシート※編集厳禁)'!$A$3:$AH$501,MATCH($C114,'DB(読み込みシート※編集厳禁)'!$B$3:$B$501,0),MATCH(AV$16,'DB(読み込みシート※編集厳禁)'!$A$2:$AH$2,0)),"")</f>
        <v/>
      </c>
      <c r="AW114" s="69" t="str">
        <f t="shared" si="22"/>
        <v/>
      </c>
      <c r="AX114" s="69" t="str">
        <f t="shared" si="23"/>
        <v/>
      </c>
      <c r="AY114" s="69" t="str">
        <f t="shared" si="24"/>
        <v/>
      </c>
      <c r="AZ114" s="69" t="str">
        <f t="shared" si="25"/>
        <v/>
      </c>
      <c r="BA114" s="69" t="str">
        <f t="shared" si="26"/>
        <v/>
      </c>
      <c r="BB114" s="69" t="str">
        <f t="shared" si="27"/>
        <v/>
      </c>
      <c r="BC114" s="69" t="str">
        <f t="shared" si="28"/>
        <v/>
      </c>
      <c r="BD114" s="70" t="str">
        <f t="shared" si="53"/>
        <v/>
      </c>
      <c r="BE114" s="70" t="str">
        <f t="shared" si="30"/>
        <v/>
      </c>
      <c r="BF114" s="1" t="str">
        <f t="shared" si="31"/>
        <v/>
      </c>
      <c r="BG114" s="1" t="str">
        <f t="shared" si="32"/>
        <v/>
      </c>
      <c r="BH114" s="1" t="str">
        <f t="shared" si="33"/>
        <v/>
      </c>
      <c r="BI114" s="1" t="str">
        <f t="shared" si="34"/>
        <v/>
      </c>
      <c r="BJ114" s="1" t="str">
        <f t="shared" si="35"/>
        <v/>
      </c>
      <c r="BK114" s="1" t="str">
        <f t="shared" si="36"/>
        <v/>
      </c>
      <c r="BL114" s="1" t="str">
        <f t="shared" si="54"/>
        <v/>
      </c>
      <c r="BM114" s="1" t="str">
        <f t="shared" si="38"/>
        <v/>
      </c>
      <c r="BN114" s="1" t="str">
        <f t="shared" si="55"/>
        <v/>
      </c>
      <c r="BO114" s="1" t="str">
        <f t="shared" si="40"/>
        <v/>
      </c>
      <c r="BP114" s="1" t="str">
        <f t="shared" si="56"/>
        <v/>
      </c>
      <c r="BQ114" s="1" t="str">
        <f t="shared" si="42"/>
        <v/>
      </c>
      <c r="BR114" s="1" t="str">
        <f t="shared" si="57"/>
        <v/>
      </c>
      <c r="BS114" s="1" t="str">
        <f t="shared" si="44"/>
        <v/>
      </c>
      <c r="BT114" s="1"/>
      <c r="BU114" s="1"/>
      <c r="BV114" s="1"/>
      <c r="BW114" s="1"/>
      <c r="BX114" s="1"/>
    </row>
    <row r="115">
      <c r="A115" s="1"/>
      <c r="B115" s="148" t="str">
        <f t="array" ref="B115">IFERROR(INDEX('DB(読み込みシート※編集厳禁)'!$A$3:$AH$501,MATCH($C115,'DB(読み込みシート※編集厳禁)'!$B$3:$B$501,0),MATCH(B$14,'DB(読み込みシート※編集厳禁)'!$A$2:$AH$2,0)),"")</f>
        <v/>
      </c>
      <c r="C115" s="149">
        <v>99.0</v>
      </c>
      <c r="D115" s="169" t="str">
        <f t="array" ref="D115">IFERROR(INDEX('DB(読み込みシート※編集厳禁)'!$A$3:$AH$501,MATCH($C115,'DB(読み込みシート※編集厳禁)'!$B$3:$B$501,0),MATCH(D$14,'DB(読み込みシート※編集厳禁)'!$A$2:$AH$2,0)),"")</f>
        <v/>
      </c>
      <c r="E115" s="170" t="str">
        <f t="array" ref="E115">IFERROR(INDEX('DB(読み込みシート※編集厳禁)'!$A$3:$AH$501,MATCH($C115,'DB(読み込みシート※編集厳禁)'!$B$3:$B$501,0),MATCH(E$14,'DB(読み込みシート※編集厳禁)'!$A$2:$AH$2,0)),"")</f>
        <v/>
      </c>
      <c r="F115" s="171" t="str">
        <f t="array" ref="F115">IFERROR(INDEX('DB(読み込みシート※編集厳禁)'!$A$3:$AH$501,MATCH($C115,'DB(読み込みシート※編集厳禁)'!$B$3:$B$501,0),MATCH(F$14,'DB(読み込みシート※編集厳禁)'!$A$2:$AH$2,0)),"")</f>
        <v/>
      </c>
      <c r="G115" s="133" t="str">
        <f t="shared" si="8"/>
        <v/>
      </c>
      <c r="H115" s="152" t="str">
        <f t="shared" si="9"/>
        <v>:00:000</v>
      </c>
      <c r="I115" s="135"/>
      <c r="J115" s="166"/>
      <c r="K115" s="137" t="s">
        <v>15</v>
      </c>
      <c r="L115" s="138" t="str">
        <f t="shared" si="10"/>
        <v/>
      </c>
      <c r="M115" s="139" t="str">
        <f t="shared" si="11"/>
        <v/>
      </c>
      <c r="N115" s="140" t="str">
        <f t="shared" si="12"/>
        <v/>
      </c>
      <c r="O115" s="141" t="str">
        <f t="shared" si="13"/>
        <v/>
      </c>
      <c r="P115" s="162" t="str">
        <f t="shared" si="14"/>
        <v>:00:000</v>
      </c>
      <c r="Q115" s="148" t="str">
        <f t="array" ref="Q115">IFERROR(INDEX('DB(読み込みシート※編集厳禁)'!$A$3:$AH$501,MATCH($C115,'DB(読み込みシート※編集厳禁)'!$B$3:$B$501,0),MATCH(Q$14,'DB(読み込みシート※編集厳禁)'!$A$2:$AH$2,0)),"")</f>
        <v/>
      </c>
      <c r="R115" s="149">
        <v>99.0</v>
      </c>
      <c r="S115" s="169" t="str">
        <f t="array" ref="S115">IFERROR(INDEX('DB(読み込みシート※編集厳禁)'!$A$3:$AH$501,MATCH($C115,'DB(読み込みシート※編集厳禁)'!$B$3:$B$501,0),MATCH(S$14,'DB(読み込みシート※編集厳禁)'!$A$2:$AH$2,0)),"")</f>
        <v/>
      </c>
      <c r="T115" s="170" t="str">
        <f t="array" ref="T115">IFERROR(INDEX('DB(読み込みシート※編集厳禁)'!$A$3:$AH$501,MATCH($C115,'DB(読み込みシート※編集厳禁)'!$B$3:$B$501,0),MATCH(T$14,'DB(読み込みシート※編集厳禁)'!$A$2:$AH$2,0)),"")</f>
        <v/>
      </c>
      <c r="U115" s="135"/>
      <c r="V115" s="166"/>
      <c r="W115" s="137" t="s">
        <v>15</v>
      </c>
      <c r="X115" s="138" t="str">
        <f t="shared" si="15"/>
        <v/>
      </c>
      <c r="Y115" s="139" t="str">
        <f t="shared" si="16"/>
        <v/>
      </c>
      <c r="Z115" s="144" t="str">
        <f t="shared" si="17"/>
        <v/>
      </c>
      <c r="AA115" s="1"/>
      <c r="AB115" s="6"/>
      <c r="AC115" s="6"/>
      <c r="AD115" s="6"/>
      <c r="AE115" s="6"/>
      <c r="AF115" s="6"/>
      <c r="AG115" s="6" t="str">
        <f t="shared" si="18"/>
        <v/>
      </c>
      <c r="AH115" s="6" t="str">
        <f t="shared" si="19"/>
        <v/>
      </c>
      <c r="AI115" s="6" t="str">
        <f t="shared" si="20"/>
        <v>-</v>
      </c>
      <c r="AJ115" s="6"/>
      <c r="AK115" s="6" t="str">
        <f t="shared" si="21"/>
        <v/>
      </c>
      <c r="AL115" s="6"/>
      <c r="AM115" s="6"/>
      <c r="AN115" s="6"/>
      <c r="AO115" s="6"/>
      <c r="AP115" s="6"/>
      <c r="AQ115" s="7"/>
      <c r="AR115" s="69"/>
      <c r="AS115" s="69"/>
      <c r="AT115" s="39">
        <v>99.0</v>
      </c>
      <c r="AU115" s="69" t="str">
        <f t="array" ref="AU115">IFERROR(INDEX('DB(読み込みシート※編集厳禁)'!$A$3:$AH$501,MATCH($C115,'DB(読み込みシート※編集厳禁)'!$B$3:$B$501,0),MATCH(AU$16,'DB(読み込みシート※編集厳禁)'!$A$2:$AH$2,0)),"")</f>
        <v/>
      </c>
      <c r="AV115" s="69" t="str">
        <f t="array" ref="AV115">IFERROR(INDEX('DB(読み込みシート※編集厳禁)'!$A$3:$AH$501,MATCH($C115,'DB(読み込みシート※編集厳禁)'!$B$3:$B$501,0),MATCH(AV$16,'DB(読み込みシート※編集厳禁)'!$A$2:$AH$2,0)),"")</f>
        <v/>
      </c>
      <c r="AW115" s="69" t="str">
        <f t="shared" si="22"/>
        <v/>
      </c>
      <c r="AX115" s="69" t="str">
        <f t="shared" si="23"/>
        <v/>
      </c>
      <c r="AY115" s="69" t="str">
        <f t="shared" si="24"/>
        <v/>
      </c>
      <c r="AZ115" s="69" t="str">
        <f t="shared" si="25"/>
        <v/>
      </c>
      <c r="BA115" s="69" t="str">
        <f t="shared" si="26"/>
        <v/>
      </c>
      <c r="BB115" s="69" t="str">
        <f t="shared" si="27"/>
        <v/>
      </c>
      <c r="BC115" s="69" t="str">
        <f t="shared" si="28"/>
        <v/>
      </c>
      <c r="BD115" s="70" t="str">
        <f t="shared" si="53"/>
        <v/>
      </c>
      <c r="BE115" s="70" t="str">
        <f t="shared" si="30"/>
        <v/>
      </c>
      <c r="BF115" s="1" t="str">
        <f t="shared" si="31"/>
        <v/>
      </c>
      <c r="BG115" s="1" t="str">
        <f t="shared" si="32"/>
        <v/>
      </c>
      <c r="BH115" s="1" t="str">
        <f t="shared" si="33"/>
        <v/>
      </c>
      <c r="BI115" s="1" t="str">
        <f t="shared" si="34"/>
        <v/>
      </c>
      <c r="BJ115" s="1" t="str">
        <f t="shared" si="35"/>
        <v/>
      </c>
      <c r="BK115" s="1" t="str">
        <f t="shared" si="36"/>
        <v/>
      </c>
      <c r="BL115" s="1" t="str">
        <f t="shared" si="54"/>
        <v/>
      </c>
      <c r="BM115" s="1" t="str">
        <f t="shared" si="38"/>
        <v/>
      </c>
      <c r="BN115" s="1" t="str">
        <f t="shared" si="55"/>
        <v/>
      </c>
      <c r="BO115" s="1" t="str">
        <f t="shared" si="40"/>
        <v/>
      </c>
      <c r="BP115" s="1" t="str">
        <f t="shared" si="56"/>
        <v/>
      </c>
      <c r="BQ115" s="1" t="str">
        <f t="shared" si="42"/>
        <v/>
      </c>
      <c r="BR115" s="1" t="str">
        <f t="shared" si="57"/>
        <v/>
      </c>
      <c r="BS115" s="1" t="str">
        <f t="shared" si="44"/>
        <v/>
      </c>
      <c r="BT115" s="1"/>
      <c r="BU115" s="1"/>
      <c r="BV115" s="1"/>
      <c r="BW115" s="1"/>
      <c r="BX115" s="1"/>
    </row>
    <row r="116">
      <c r="A116" s="1"/>
      <c r="B116" s="172" t="str">
        <f t="array" ref="B116">IFERROR(INDEX('DB(読み込みシート※編集厳禁)'!$A$3:$AH$501,MATCH($C116,'DB(読み込みシート※編集厳禁)'!$B$3:$B$501,0),MATCH(B$14,'DB(読み込みシート※編集厳禁)'!$A$2:$AH$2,0)),"")</f>
        <v/>
      </c>
      <c r="C116" s="173">
        <v>100.0</v>
      </c>
      <c r="D116" s="174" t="str">
        <f t="array" ref="D116">IFERROR(INDEX('DB(読み込みシート※編集厳禁)'!$A$3:$AH$501,MATCH($C116,'DB(読み込みシート※編集厳禁)'!$B$3:$B$501,0),MATCH(D$14,'DB(読み込みシート※編集厳禁)'!$A$2:$AH$2,0)),"")</f>
        <v/>
      </c>
      <c r="E116" s="175" t="str">
        <f t="array" ref="E116">IFERROR(INDEX('DB(読み込みシート※編集厳禁)'!$A$3:$AH$501,MATCH($C116,'DB(読み込みシート※編集厳禁)'!$B$3:$B$501,0),MATCH(E$14,'DB(読み込みシート※編集厳禁)'!$A$2:$AH$2,0)),"")</f>
        <v/>
      </c>
      <c r="F116" s="176" t="str">
        <f t="array" ref="F116">IFERROR(INDEX('DB(読み込みシート※編集厳禁)'!$A$3:$AH$501,MATCH($C116,'DB(読み込みシート※編集厳禁)'!$B$3:$B$501,0),MATCH(F$14,'DB(読み込みシート※編集厳禁)'!$A$2:$AH$2,0)),"")</f>
        <v/>
      </c>
      <c r="G116" s="177" t="str">
        <f t="shared" si="8"/>
        <v/>
      </c>
      <c r="H116" s="178" t="str">
        <f t="shared" si="9"/>
        <v>:00:000</v>
      </c>
      <c r="I116" s="34"/>
      <c r="J116" s="179"/>
      <c r="K116" s="180" t="s">
        <v>15</v>
      </c>
      <c r="L116" s="181" t="str">
        <f t="shared" si="10"/>
        <v/>
      </c>
      <c r="M116" s="37" t="str">
        <f t="shared" si="11"/>
        <v/>
      </c>
      <c r="N116" s="182" t="str">
        <f t="shared" si="12"/>
        <v/>
      </c>
      <c r="O116" s="183" t="str">
        <f t="shared" si="13"/>
        <v/>
      </c>
      <c r="P116" s="184" t="str">
        <f t="shared" si="14"/>
        <v>:00:000</v>
      </c>
      <c r="Q116" s="172" t="str">
        <f t="array" ref="Q116">IFERROR(INDEX('DB(読み込みシート※編集厳禁)'!$A$3:$AH$501,MATCH($C116,'DB(読み込みシート※編集厳禁)'!$B$3:$B$501,0),MATCH(Q$14,'DB(読み込みシート※編集厳禁)'!$A$2:$AH$2,0)),"")</f>
        <v/>
      </c>
      <c r="R116" s="173">
        <v>100.0</v>
      </c>
      <c r="S116" s="174" t="str">
        <f t="array" ref="S116">IFERROR(INDEX('DB(読み込みシート※編集厳禁)'!$A$3:$AH$501,MATCH($C116,'DB(読み込みシート※編集厳禁)'!$B$3:$B$501,0),MATCH(S$14,'DB(読み込みシート※編集厳禁)'!$A$2:$AH$2,0)),"")</f>
        <v/>
      </c>
      <c r="T116" s="175" t="str">
        <f t="array" ref="T116">IFERROR(INDEX('DB(読み込みシート※編集厳禁)'!$A$3:$AH$501,MATCH($C116,'DB(読み込みシート※編集厳禁)'!$B$3:$B$501,0),MATCH(T$14,'DB(読み込みシート※編集厳禁)'!$A$2:$AH$2,0)),"")</f>
        <v/>
      </c>
      <c r="U116" s="34"/>
      <c r="V116" s="179"/>
      <c r="W116" s="180" t="s">
        <v>15</v>
      </c>
      <c r="X116" s="181" t="str">
        <f t="shared" si="15"/>
        <v/>
      </c>
      <c r="Y116" s="37" t="str">
        <f t="shared" si="16"/>
        <v/>
      </c>
      <c r="Z116" s="38" t="str">
        <f t="shared" si="17"/>
        <v/>
      </c>
      <c r="AA116" s="1"/>
      <c r="AB116" s="6"/>
      <c r="AC116" s="6"/>
      <c r="AD116" s="6"/>
      <c r="AE116" s="6"/>
      <c r="AF116" s="6"/>
      <c r="AG116" s="6" t="str">
        <f t="shared" si="18"/>
        <v/>
      </c>
      <c r="AH116" s="6" t="str">
        <f t="shared" si="19"/>
        <v/>
      </c>
      <c r="AI116" s="6" t="str">
        <f t="shared" si="20"/>
        <v>-</v>
      </c>
      <c r="AJ116" s="6"/>
      <c r="AK116" s="6" t="str">
        <f t="shared" si="21"/>
        <v/>
      </c>
      <c r="AL116" s="6"/>
      <c r="AM116" s="6"/>
      <c r="AN116" s="6"/>
      <c r="AO116" s="6"/>
      <c r="AP116" s="6"/>
      <c r="AQ116" s="7"/>
      <c r="AR116" s="69"/>
      <c r="AS116" s="69"/>
      <c r="AT116" s="39">
        <v>100.0</v>
      </c>
      <c r="AU116" s="69" t="str">
        <f t="array" ref="AU116">IFERROR(INDEX('DB(読み込みシート※編集厳禁)'!$A$3:$AH$501,MATCH($C116,'DB(読み込みシート※編集厳禁)'!$B$3:$B$501,0),MATCH(AU$16,'DB(読み込みシート※編集厳禁)'!$A$2:$AH$2,0)),"")</f>
        <v/>
      </c>
      <c r="AV116" s="69" t="str">
        <f t="array" ref="AV116">IFERROR(INDEX('DB(読み込みシート※編集厳禁)'!$A$3:$AH$501,MATCH($C116,'DB(読み込みシート※編集厳禁)'!$B$3:$B$501,0),MATCH(AV$16,'DB(読み込みシート※編集厳禁)'!$A$2:$AH$2,0)),"")</f>
        <v/>
      </c>
      <c r="AW116" s="69" t="str">
        <f t="shared" si="22"/>
        <v/>
      </c>
      <c r="AX116" s="69" t="str">
        <f t="shared" si="23"/>
        <v/>
      </c>
      <c r="AY116" s="69" t="str">
        <f t="shared" si="24"/>
        <v/>
      </c>
      <c r="AZ116" s="69" t="str">
        <f t="shared" si="25"/>
        <v/>
      </c>
      <c r="BA116" s="69" t="str">
        <f t="shared" si="26"/>
        <v/>
      </c>
      <c r="BB116" s="69" t="str">
        <f t="shared" si="27"/>
        <v/>
      </c>
      <c r="BC116" s="69" t="str">
        <f t="shared" si="28"/>
        <v/>
      </c>
      <c r="BD116" s="70" t="str">
        <f t="shared" si="53"/>
        <v/>
      </c>
      <c r="BE116" s="70" t="str">
        <f t="shared" si="30"/>
        <v/>
      </c>
      <c r="BF116" s="1" t="str">
        <f t="shared" si="31"/>
        <v/>
      </c>
      <c r="BG116" s="1" t="str">
        <f t="shared" si="32"/>
        <v/>
      </c>
      <c r="BH116" s="1" t="str">
        <f t="shared" si="33"/>
        <v/>
      </c>
      <c r="BI116" s="1" t="str">
        <f t="shared" si="34"/>
        <v/>
      </c>
      <c r="BJ116" s="1" t="str">
        <f t="shared" si="35"/>
        <v/>
      </c>
      <c r="BK116" s="1" t="str">
        <f t="shared" si="36"/>
        <v/>
      </c>
      <c r="BL116" s="1" t="str">
        <f t="shared" si="54"/>
        <v/>
      </c>
      <c r="BM116" s="1" t="str">
        <f t="shared" si="38"/>
        <v/>
      </c>
      <c r="BN116" s="1" t="str">
        <f t="shared" si="55"/>
        <v/>
      </c>
      <c r="BO116" s="1" t="str">
        <f t="shared" si="40"/>
        <v/>
      </c>
      <c r="BP116" s="1" t="str">
        <f t="shared" si="56"/>
        <v/>
      </c>
      <c r="BQ116" s="1" t="str">
        <f t="shared" si="42"/>
        <v/>
      </c>
      <c r="BR116" s="1" t="str">
        <f t="shared" si="57"/>
        <v/>
      </c>
      <c r="BS116" s="1" t="str">
        <f t="shared" si="44"/>
        <v/>
      </c>
      <c r="BT116" s="1"/>
      <c r="BU116" s="1"/>
      <c r="BV116" s="1"/>
      <c r="BW116" s="1"/>
      <c r="BX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6"/>
      <c r="AC117" s="6"/>
      <c r="AD117" s="6"/>
      <c r="AE117" s="6"/>
      <c r="AF117" s="6"/>
      <c r="AG117" s="6"/>
      <c r="AH117" s="6"/>
      <c r="AI117" s="6"/>
      <c r="AJ117" s="6"/>
      <c r="AK117" s="6"/>
      <c r="AL117" s="6"/>
      <c r="AM117" s="6"/>
      <c r="AN117" s="6"/>
      <c r="AO117" s="6"/>
      <c r="AP117" s="6"/>
      <c r="AQ117" s="7"/>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6"/>
      <c r="AC118" s="6"/>
      <c r="AD118" s="6"/>
      <c r="AE118" s="6"/>
      <c r="AF118" s="6"/>
      <c r="AG118" s="6"/>
      <c r="AH118" s="6"/>
      <c r="AI118" s="6"/>
      <c r="AJ118" s="6"/>
      <c r="AK118" s="6"/>
      <c r="AL118" s="6"/>
      <c r="AM118" s="6"/>
      <c r="AN118" s="6"/>
      <c r="AO118" s="6"/>
      <c r="AP118" s="6"/>
      <c r="AQ118" s="7"/>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6"/>
      <c r="AC119" s="6"/>
      <c r="AD119" s="6"/>
      <c r="AE119" s="6"/>
      <c r="AF119" s="6"/>
      <c r="AG119" s="6"/>
      <c r="AH119" s="6"/>
      <c r="AI119" s="6"/>
      <c r="AJ119" s="6"/>
      <c r="AK119" s="6"/>
      <c r="AL119" s="6"/>
      <c r="AM119" s="6"/>
      <c r="AN119" s="6"/>
      <c r="AO119" s="6"/>
      <c r="AP119" s="6"/>
      <c r="AQ119" s="7"/>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6"/>
      <c r="AC120" s="6"/>
      <c r="AD120" s="6"/>
      <c r="AE120" s="6"/>
      <c r="AF120" s="6"/>
      <c r="AG120" s="6"/>
      <c r="AH120" s="6"/>
      <c r="AI120" s="6"/>
      <c r="AJ120" s="6"/>
      <c r="AK120" s="6"/>
      <c r="AL120" s="6"/>
      <c r="AM120" s="6"/>
      <c r="AN120" s="6"/>
      <c r="AO120" s="6"/>
      <c r="AP120" s="6"/>
      <c r="AQ120" s="7"/>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6"/>
      <c r="AC121" s="6"/>
      <c r="AD121" s="6"/>
      <c r="AE121" s="6"/>
      <c r="AF121" s="6"/>
      <c r="AG121" s="6"/>
      <c r="AH121" s="6"/>
      <c r="AI121" s="6"/>
      <c r="AJ121" s="6"/>
      <c r="AK121" s="6"/>
      <c r="AL121" s="6"/>
      <c r="AM121" s="6"/>
      <c r="AN121" s="6"/>
      <c r="AO121" s="6"/>
      <c r="AP121" s="6"/>
      <c r="AQ121" s="7"/>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6"/>
      <c r="AC122" s="6"/>
      <c r="AD122" s="6"/>
      <c r="AE122" s="6"/>
      <c r="AF122" s="6"/>
      <c r="AG122" s="6"/>
      <c r="AH122" s="6"/>
      <c r="AI122" s="6"/>
      <c r="AJ122" s="6"/>
      <c r="AK122" s="6"/>
      <c r="AL122" s="6"/>
      <c r="AM122" s="6"/>
      <c r="AN122" s="6"/>
      <c r="AO122" s="6"/>
      <c r="AP122" s="6"/>
      <c r="AQ122" s="7"/>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6"/>
      <c r="AC123" s="6"/>
      <c r="AD123" s="6"/>
      <c r="AE123" s="6"/>
      <c r="AF123" s="6"/>
      <c r="AG123" s="6"/>
      <c r="AH123" s="6"/>
      <c r="AI123" s="6"/>
      <c r="AJ123" s="6"/>
      <c r="AK123" s="6"/>
      <c r="AL123" s="6"/>
      <c r="AM123" s="6"/>
      <c r="AN123" s="6"/>
      <c r="AO123" s="6"/>
      <c r="AP123" s="6"/>
      <c r="AQ123" s="7"/>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6"/>
      <c r="AC124" s="6"/>
      <c r="AD124" s="6"/>
      <c r="AE124" s="6"/>
      <c r="AF124" s="6"/>
      <c r="AG124" s="6"/>
      <c r="AH124" s="6"/>
      <c r="AI124" s="6"/>
      <c r="AJ124" s="6"/>
      <c r="AK124" s="6"/>
      <c r="AL124" s="6"/>
      <c r="AM124" s="6"/>
      <c r="AN124" s="6"/>
      <c r="AO124" s="6"/>
      <c r="AP124" s="6"/>
      <c r="AQ124" s="7"/>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6"/>
      <c r="AC125" s="6"/>
      <c r="AD125" s="6"/>
      <c r="AE125" s="6"/>
      <c r="AF125" s="6"/>
      <c r="AG125" s="6"/>
      <c r="AH125" s="6"/>
      <c r="AI125" s="6"/>
      <c r="AJ125" s="6"/>
      <c r="AK125" s="6"/>
      <c r="AL125" s="6"/>
      <c r="AM125" s="6"/>
      <c r="AN125" s="6"/>
      <c r="AO125" s="6"/>
      <c r="AP125" s="6"/>
      <c r="AQ125" s="7"/>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6"/>
      <c r="AC126" s="6"/>
      <c r="AD126" s="6"/>
      <c r="AE126" s="6"/>
      <c r="AF126" s="6"/>
      <c r="AG126" s="6"/>
      <c r="AH126" s="6"/>
      <c r="AI126" s="6"/>
      <c r="AJ126" s="6"/>
      <c r="AK126" s="6"/>
      <c r="AL126" s="6"/>
      <c r="AM126" s="6"/>
      <c r="AN126" s="6"/>
      <c r="AO126" s="6"/>
      <c r="AP126" s="6"/>
      <c r="AQ126" s="7"/>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6"/>
      <c r="AC127" s="6"/>
      <c r="AD127" s="6"/>
      <c r="AE127" s="6"/>
      <c r="AF127" s="6"/>
      <c r="AG127" s="6"/>
      <c r="AH127" s="6"/>
      <c r="AI127" s="6"/>
      <c r="AJ127" s="6"/>
      <c r="AK127" s="6"/>
      <c r="AL127" s="6"/>
      <c r="AM127" s="6"/>
      <c r="AN127" s="6"/>
      <c r="AO127" s="6"/>
      <c r="AP127" s="6"/>
      <c r="AQ127" s="7"/>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6"/>
      <c r="AC128" s="6"/>
      <c r="AD128" s="6"/>
      <c r="AE128" s="6"/>
      <c r="AF128" s="6"/>
      <c r="AG128" s="6"/>
      <c r="AH128" s="6"/>
      <c r="AI128" s="6"/>
      <c r="AJ128" s="6"/>
      <c r="AK128" s="6"/>
      <c r="AL128" s="6"/>
      <c r="AM128" s="6"/>
      <c r="AN128" s="6"/>
      <c r="AO128" s="6"/>
      <c r="AP128" s="6"/>
      <c r="AQ128" s="7"/>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6"/>
      <c r="AC129" s="6"/>
      <c r="AD129" s="6"/>
      <c r="AE129" s="6"/>
      <c r="AF129" s="6"/>
      <c r="AG129" s="6"/>
      <c r="AH129" s="6"/>
      <c r="AI129" s="6"/>
      <c r="AJ129" s="6"/>
      <c r="AK129" s="6"/>
      <c r="AL129" s="6"/>
      <c r="AM129" s="6"/>
      <c r="AN129" s="6"/>
      <c r="AO129" s="6"/>
      <c r="AP129" s="6"/>
      <c r="AQ129" s="7"/>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6"/>
      <c r="AC130" s="6"/>
      <c r="AD130" s="6"/>
      <c r="AE130" s="6"/>
      <c r="AF130" s="6"/>
      <c r="AG130" s="6"/>
      <c r="AH130" s="6"/>
      <c r="AI130" s="6"/>
      <c r="AJ130" s="6"/>
      <c r="AK130" s="6"/>
      <c r="AL130" s="6"/>
      <c r="AM130" s="6"/>
      <c r="AN130" s="6"/>
      <c r="AO130" s="6"/>
      <c r="AP130" s="6"/>
      <c r="AQ130" s="7"/>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6"/>
      <c r="AC131" s="6"/>
      <c r="AD131" s="6"/>
      <c r="AE131" s="6"/>
      <c r="AF131" s="6"/>
      <c r="AG131" s="6"/>
      <c r="AH131" s="6"/>
      <c r="AI131" s="6"/>
      <c r="AJ131" s="6"/>
      <c r="AK131" s="6"/>
      <c r="AL131" s="6"/>
      <c r="AM131" s="6"/>
      <c r="AN131" s="6"/>
      <c r="AO131" s="6"/>
      <c r="AP131" s="6"/>
      <c r="AQ131" s="7"/>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6"/>
      <c r="AC132" s="6"/>
      <c r="AD132" s="6"/>
      <c r="AE132" s="6"/>
      <c r="AF132" s="6"/>
      <c r="AG132" s="6"/>
      <c r="AH132" s="6"/>
      <c r="AI132" s="6"/>
      <c r="AJ132" s="6"/>
      <c r="AK132" s="6"/>
      <c r="AL132" s="6"/>
      <c r="AM132" s="6"/>
      <c r="AN132" s="6"/>
      <c r="AO132" s="6"/>
      <c r="AP132" s="6"/>
      <c r="AQ132" s="7"/>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6"/>
      <c r="AC133" s="6"/>
      <c r="AD133" s="6"/>
      <c r="AE133" s="6"/>
      <c r="AF133" s="6"/>
      <c r="AG133" s="6"/>
      <c r="AH133" s="6"/>
      <c r="AI133" s="6"/>
      <c r="AJ133" s="6"/>
      <c r="AK133" s="6"/>
      <c r="AL133" s="6"/>
      <c r="AM133" s="6"/>
      <c r="AN133" s="6"/>
      <c r="AO133" s="6"/>
      <c r="AP133" s="6"/>
      <c r="AQ133" s="7"/>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6"/>
      <c r="AC134" s="6"/>
      <c r="AD134" s="6"/>
      <c r="AE134" s="6"/>
      <c r="AF134" s="6"/>
      <c r="AG134" s="6"/>
      <c r="AH134" s="6"/>
      <c r="AI134" s="6"/>
      <c r="AJ134" s="6"/>
      <c r="AK134" s="6"/>
      <c r="AL134" s="6"/>
      <c r="AM134" s="6"/>
      <c r="AN134" s="6"/>
      <c r="AO134" s="6"/>
      <c r="AP134" s="6"/>
      <c r="AQ134" s="7"/>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6"/>
      <c r="AC135" s="6"/>
      <c r="AD135" s="6"/>
      <c r="AE135" s="6"/>
      <c r="AF135" s="6"/>
      <c r="AG135" s="6"/>
      <c r="AH135" s="6"/>
      <c r="AI135" s="6"/>
      <c r="AJ135" s="6"/>
      <c r="AK135" s="6"/>
      <c r="AL135" s="6"/>
      <c r="AM135" s="6"/>
      <c r="AN135" s="6"/>
      <c r="AO135" s="6"/>
      <c r="AP135" s="6"/>
      <c r="AQ135" s="7"/>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6"/>
      <c r="AC136" s="6"/>
      <c r="AD136" s="6"/>
      <c r="AE136" s="6"/>
      <c r="AF136" s="6"/>
      <c r="AG136" s="6"/>
      <c r="AH136" s="6"/>
      <c r="AI136" s="6"/>
      <c r="AJ136" s="6"/>
      <c r="AK136" s="6"/>
      <c r="AL136" s="6"/>
      <c r="AM136" s="6"/>
      <c r="AN136" s="6"/>
      <c r="AO136" s="6"/>
      <c r="AP136" s="6"/>
      <c r="AQ136" s="7"/>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6"/>
      <c r="AC137" s="6"/>
      <c r="AD137" s="6"/>
      <c r="AE137" s="6"/>
      <c r="AF137" s="6"/>
      <c r="AG137" s="6"/>
      <c r="AH137" s="6"/>
      <c r="AI137" s="6"/>
      <c r="AJ137" s="6"/>
      <c r="AK137" s="6"/>
      <c r="AL137" s="6"/>
      <c r="AM137" s="6"/>
      <c r="AN137" s="6"/>
      <c r="AO137" s="6"/>
      <c r="AP137" s="6"/>
      <c r="AQ137" s="7"/>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6"/>
      <c r="AC138" s="6"/>
      <c r="AD138" s="6"/>
      <c r="AE138" s="6"/>
      <c r="AF138" s="6"/>
      <c r="AG138" s="6"/>
      <c r="AH138" s="6"/>
      <c r="AI138" s="6"/>
      <c r="AJ138" s="6"/>
      <c r="AK138" s="6"/>
      <c r="AL138" s="6"/>
      <c r="AM138" s="6"/>
      <c r="AN138" s="6"/>
      <c r="AO138" s="6"/>
      <c r="AP138" s="6"/>
      <c r="AQ138" s="7"/>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6"/>
      <c r="AC139" s="6"/>
      <c r="AD139" s="6"/>
      <c r="AE139" s="6"/>
      <c r="AF139" s="6"/>
      <c r="AG139" s="6"/>
      <c r="AH139" s="6"/>
      <c r="AI139" s="6"/>
      <c r="AJ139" s="6"/>
      <c r="AK139" s="6"/>
      <c r="AL139" s="6"/>
      <c r="AM139" s="6"/>
      <c r="AN139" s="6"/>
      <c r="AO139" s="6"/>
      <c r="AP139" s="6"/>
      <c r="AQ139" s="7"/>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6"/>
      <c r="AC140" s="6"/>
      <c r="AD140" s="6"/>
      <c r="AE140" s="6"/>
      <c r="AF140" s="6"/>
      <c r="AG140" s="6"/>
      <c r="AH140" s="6"/>
      <c r="AI140" s="6"/>
      <c r="AJ140" s="6"/>
      <c r="AK140" s="6"/>
      <c r="AL140" s="6"/>
      <c r="AM140" s="6"/>
      <c r="AN140" s="6"/>
      <c r="AO140" s="6"/>
      <c r="AP140" s="6"/>
      <c r="AQ140" s="7"/>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6"/>
      <c r="AC141" s="6"/>
      <c r="AD141" s="6"/>
      <c r="AE141" s="6"/>
      <c r="AF141" s="6"/>
      <c r="AG141" s="6"/>
      <c r="AH141" s="6"/>
      <c r="AI141" s="6"/>
      <c r="AJ141" s="6"/>
      <c r="AK141" s="6"/>
      <c r="AL141" s="6"/>
      <c r="AM141" s="6"/>
      <c r="AN141" s="6"/>
      <c r="AO141" s="6"/>
      <c r="AP141" s="6"/>
      <c r="AQ141" s="7"/>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6"/>
      <c r="AC142" s="6"/>
      <c r="AD142" s="6"/>
      <c r="AE142" s="6"/>
      <c r="AF142" s="6"/>
      <c r="AG142" s="6"/>
      <c r="AH142" s="6"/>
      <c r="AI142" s="6"/>
      <c r="AJ142" s="6"/>
      <c r="AK142" s="6"/>
      <c r="AL142" s="6"/>
      <c r="AM142" s="6"/>
      <c r="AN142" s="6"/>
      <c r="AO142" s="6"/>
      <c r="AP142" s="6"/>
      <c r="AQ142" s="7"/>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6"/>
      <c r="AC143" s="6"/>
      <c r="AD143" s="6"/>
      <c r="AE143" s="6"/>
      <c r="AF143" s="6"/>
      <c r="AG143" s="6"/>
      <c r="AH143" s="6"/>
      <c r="AI143" s="6"/>
      <c r="AJ143" s="6"/>
      <c r="AK143" s="6"/>
      <c r="AL143" s="6"/>
      <c r="AM143" s="6"/>
      <c r="AN143" s="6"/>
      <c r="AO143" s="6"/>
      <c r="AP143" s="6"/>
      <c r="AQ143" s="7"/>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6"/>
      <c r="AC144" s="6"/>
      <c r="AD144" s="6"/>
      <c r="AE144" s="6"/>
      <c r="AF144" s="6"/>
      <c r="AG144" s="6"/>
      <c r="AH144" s="6"/>
      <c r="AI144" s="6"/>
      <c r="AJ144" s="6"/>
      <c r="AK144" s="6"/>
      <c r="AL144" s="6"/>
      <c r="AM144" s="6"/>
      <c r="AN144" s="6"/>
      <c r="AO144" s="6"/>
      <c r="AP144" s="6"/>
      <c r="AQ144" s="7"/>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6"/>
      <c r="AC145" s="6"/>
      <c r="AD145" s="6"/>
      <c r="AE145" s="6"/>
      <c r="AF145" s="6"/>
      <c r="AG145" s="6"/>
      <c r="AH145" s="6"/>
      <c r="AI145" s="6"/>
      <c r="AJ145" s="6"/>
      <c r="AK145" s="6"/>
      <c r="AL145" s="6"/>
      <c r="AM145" s="6"/>
      <c r="AN145" s="6"/>
      <c r="AO145" s="6"/>
      <c r="AP145" s="6"/>
      <c r="AQ145" s="7"/>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6"/>
      <c r="AC146" s="6"/>
      <c r="AD146" s="6"/>
      <c r="AE146" s="6"/>
      <c r="AF146" s="6"/>
      <c r="AG146" s="6"/>
      <c r="AH146" s="6"/>
      <c r="AI146" s="6"/>
      <c r="AJ146" s="6"/>
      <c r="AK146" s="6"/>
      <c r="AL146" s="6"/>
      <c r="AM146" s="6"/>
      <c r="AN146" s="6"/>
      <c r="AO146" s="6"/>
      <c r="AP146" s="6"/>
      <c r="AQ146" s="7"/>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6"/>
      <c r="AC147" s="6"/>
      <c r="AD147" s="6"/>
      <c r="AE147" s="6"/>
      <c r="AF147" s="6"/>
      <c r="AG147" s="6"/>
      <c r="AH147" s="6"/>
      <c r="AI147" s="6"/>
      <c r="AJ147" s="6"/>
      <c r="AK147" s="6"/>
      <c r="AL147" s="6"/>
      <c r="AM147" s="6"/>
      <c r="AN147" s="6"/>
      <c r="AO147" s="6"/>
      <c r="AP147" s="6"/>
      <c r="AQ147" s="7"/>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6"/>
      <c r="AC148" s="6"/>
      <c r="AD148" s="6"/>
      <c r="AE148" s="6"/>
      <c r="AF148" s="6"/>
      <c r="AG148" s="6"/>
      <c r="AH148" s="6"/>
      <c r="AI148" s="6"/>
      <c r="AJ148" s="6"/>
      <c r="AK148" s="6"/>
      <c r="AL148" s="6"/>
      <c r="AM148" s="6"/>
      <c r="AN148" s="6"/>
      <c r="AO148" s="6"/>
      <c r="AP148" s="6"/>
      <c r="AQ148" s="7"/>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6"/>
      <c r="AC149" s="6"/>
      <c r="AD149" s="6"/>
      <c r="AE149" s="6"/>
      <c r="AF149" s="6"/>
      <c r="AG149" s="6"/>
      <c r="AH149" s="6"/>
      <c r="AI149" s="6"/>
      <c r="AJ149" s="6"/>
      <c r="AK149" s="6"/>
      <c r="AL149" s="6"/>
      <c r="AM149" s="6"/>
      <c r="AN149" s="6"/>
      <c r="AO149" s="6"/>
      <c r="AP149" s="6"/>
      <c r="AQ149" s="7"/>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6"/>
      <c r="AC150" s="6"/>
      <c r="AD150" s="6"/>
      <c r="AE150" s="6"/>
      <c r="AF150" s="6"/>
      <c r="AG150" s="6"/>
      <c r="AH150" s="6"/>
      <c r="AI150" s="6"/>
      <c r="AJ150" s="6"/>
      <c r="AK150" s="6"/>
      <c r="AL150" s="6"/>
      <c r="AM150" s="6"/>
      <c r="AN150" s="6"/>
      <c r="AO150" s="6"/>
      <c r="AP150" s="6"/>
      <c r="AQ150" s="7"/>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6"/>
      <c r="AC151" s="6"/>
      <c r="AD151" s="6"/>
      <c r="AE151" s="6"/>
      <c r="AF151" s="6"/>
      <c r="AG151" s="6"/>
      <c r="AH151" s="6"/>
      <c r="AI151" s="6"/>
      <c r="AJ151" s="6"/>
      <c r="AK151" s="6"/>
      <c r="AL151" s="6"/>
      <c r="AM151" s="6"/>
      <c r="AN151" s="6"/>
      <c r="AO151" s="6"/>
      <c r="AP151" s="6"/>
      <c r="AQ151" s="7"/>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6"/>
      <c r="AC152" s="6"/>
      <c r="AD152" s="6"/>
      <c r="AE152" s="6"/>
      <c r="AF152" s="6"/>
      <c r="AG152" s="6"/>
      <c r="AH152" s="6"/>
      <c r="AI152" s="6"/>
      <c r="AJ152" s="6"/>
      <c r="AK152" s="6"/>
      <c r="AL152" s="6"/>
      <c r="AM152" s="6"/>
      <c r="AN152" s="6"/>
      <c r="AO152" s="6"/>
      <c r="AP152" s="6"/>
      <c r="AQ152" s="7"/>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6"/>
      <c r="AC153" s="6"/>
      <c r="AD153" s="6"/>
      <c r="AE153" s="6"/>
      <c r="AF153" s="6"/>
      <c r="AG153" s="6"/>
      <c r="AH153" s="6"/>
      <c r="AI153" s="6"/>
      <c r="AJ153" s="6"/>
      <c r="AK153" s="6"/>
      <c r="AL153" s="6"/>
      <c r="AM153" s="6"/>
      <c r="AN153" s="6"/>
      <c r="AO153" s="6"/>
      <c r="AP153" s="6"/>
      <c r="AQ153" s="7"/>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6"/>
      <c r="AC154" s="6"/>
      <c r="AD154" s="6"/>
      <c r="AE154" s="6"/>
      <c r="AF154" s="6"/>
      <c r="AG154" s="6"/>
      <c r="AH154" s="6"/>
      <c r="AI154" s="6"/>
      <c r="AJ154" s="6"/>
      <c r="AK154" s="6"/>
      <c r="AL154" s="6"/>
      <c r="AM154" s="6"/>
      <c r="AN154" s="6"/>
      <c r="AO154" s="6"/>
      <c r="AP154" s="6"/>
      <c r="AQ154" s="7"/>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6"/>
      <c r="AC155" s="6"/>
      <c r="AD155" s="6"/>
      <c r="AE155" s="6"/>
      <c r="AF155" s="6"/>
      <c r="AG155" s="6"/>
      <c r="AH155" s="6"/>
      <c r="AI155" s="6"/>
      <c r="AJ155" s="6"/>
      <c r="AK155" s="6"/>
      <c r="AL155" s="6"/>
      <c r="AM155" s="6"/>
      <c r="AN155" s="6"/>
      <c r="AO155" s="6"/>
      <c r="AP155" s="6"/>
      <c r="AQ155" s="7"/>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6"/>
      <c r="AC156" s="6"/>
      <c r="AD156" s="6"/>
      <c r="AE156" s="6"/>
      <c r="AF156" s="6"/>
      <c r="AG156" s="6"/>
      <c r="AH156" s="6"/>
      <c r="AI156" s="6"/>
      <c r="AJ156" s="6"/>
      <c r="AK156" s="6"/>
      <c r="AL156" s="6"/>
      <c r="AM156" s="6"/>
      <c r="AN156" s="6"/>
      <c r="AO156" s="6"/>
      <c r="AP156" s="6"/>
      <c r="AQ156" s="7"/>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6"/>
      <c r="AC157" s="6"/>
      <c r="AD157" s="6"/>
      <c r="AE157" s="6"/>
      <c r="AF157" s="6"/>
      <c r="AG157" s="6"/>
      <c r="AH157" s="6"/>
      <c r="AI157" s="6"/>
      <c r="AJ157" s="6"/>
      <c r="AK157" s="6"/>
      <c r="AL157" s="6"/>
      <c r="AM157" s="6"/>
      <c r="AN157" s="6"/>
      <c r="AO157" s="6"/>
      <c r="AP157" s="6"/>
      <c r="AQ157" s="7"/>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6"/>
      <c r="AC158" s="6"/>
      <c r="AD158" s="6"/>
      <c r="AE158" s="6"/>
      <c r="AF158" s="6"/>
      <c r="AG158" s="6"/>
      <c r="AH158" s="6"/>
      <c r="AI158" s="6"/>
      <c r="AJ158" s="6"/>
      <c r="AK158" s="6"/>
      <c r="AL158" s="6"/>
      <c r="AM158" s="6"/>
      <c r="AN158" s="6"/>
      <c r="AO158" s="6"/>
      <c r="AP158" s="6"/>
      <c r="AQ158" s="7"/>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6"/>
      <c r="AC159" s="6"/>
      <c r="AD159" s="6"/>
      <c r="AE159" s="6"/>
      <c r="AF159" s="6"/>
      <c r="AG159" s="6"/>
      <c r="AH159" s="6"/>
      <c r="AI159" s="6"/>
      <c r="AJ159" s="6"/>
      <c r="AK159" s="6"/>
      <c r="AL159" s="6"/>
      <c r="AM159" s="6"/>
      <c r="AN159" s="6"/>
      <c r="AO159" s="6"/>
      <c r="AP159" s="6"/>
      <c r="AQ159" s="7"/>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6"/>
      <c r="AC160" s="6"/>
      <c r="AD160" s="6"/>
      <c r="AE160" s="6"/>
      <c r="AF160" s="6"/>
      <c r="AG160" s="6"/>
      <c r="AH160" s="6"/>
      <c r="AI160" s="6"/>
      <c r="AJ160" s="6"/>
      <c r="AK160" s="6"/>
      <c r="AL160" s="6"/>
      <c r="AM160" s="6"/>
      <c r="AN160" s="6"/>
      <c r="AO160" s="6"/>
      <c r="AP160" s="6"/>
      <c r="AQ160" s="7"/>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6"/>
      <c r="AC161" s="6"/>
      <c r="AD161" s="6"/>
      <c r="AE161" s="6"/>
      <c r="AF161" s="6"/>
      <c r="AG161" s="6"/>
      <c r="AH161" s="6"/>
      <c r="AI161" s="6"/>
      <c r="AJ161" s="6"/>
      <c r="AK161" s="6"/>
      <c r="AL161" s="6"/>
      <c r="AM161" s="6"/>
      <c r="AN161" s="6"/>
      <c r="AO161" s="6"/>
      <c r="AP161" s="6"/>
      <c r="AQ161" s="7"/>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6"/>
      <c r="AC162" s="6"/>
      <c r="AD162" s="6"/>
      <c r="AE162" s="6"/>
      <c r="AF162" s="6"/>
      <c r="AG162" s="6"/>
      <c r="AH162" s="6"/>
      <c r="AI162" s="6"/>
      <c r="AJ162" s="6"/>
      <c r="AK162" s="6"/>
      <c r="AL162" s="6"/>
      <c r="AM162" s="6"/>
      <c r="AN162" s="6"/>
      <c r="AO162" s="6"/>
      <c r="AP162" s="6"/>
      <c r="AQ162" s="7"/>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6"/>
      <c r="AC163" s="6"/>
      <c r="AD163" s="6"/>
      <c r="AE163" s="6"/>
      <c r="AF163" s="6"/>
      <c r="AG163" s="6"/>
      <c r="AH163" s="6"/>
      <c r="AI163" s="6"/>
      <c r="AJ163" s="6"/>
      <c r="AK163" s="6"/>
      <c r="AL163" s="6"/>
      <c r="AM163" s="6"/>
      <c r="AN163" s="6"/>
      <c r="AO163" s="6"/>
      <c r="AP163" s="6"/>
      <c r="AQ163" s="7"/>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6"/>
      <c r="AC164" s="6"/>
      <c r="AD164" s="6"/>
      <c r="AE164" s="6"/>
      <c r="AF164" s="6"/>
      <c r="AG164" s="6"/>
      <c r="AH164" s="6"/>
      <c r="AI164" s="6"/>
      <c r="AJ164" s="6"/>
      <c r="AK164" s="6"/>
      <c r="AL164" s="6"/>
      <c r="AM164" s="6"/>
      <c r="AN164" s="6"/>
      <c r="AO164" s="6"/>
      <c r="AP164" s="6"/>
      <c r="AQ164" s="7"/>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6"/>
      <c r="AC165" s="6"/>
      <c r="AD165" s="6"/>
      <c r="AE165" s="6"/>
      <c r="AF165" s="6"/>
      <c r="AG165" s="6"/>
      <c r="AH165" s="6"/>
      <c r="AI165" s="6"/>
      <c r="AJ165" s="6"/>
      <c r="AK165" s="6"/>
      <c r="AL165" s="6"/>
      <c r="AM165" s="6"/>
      <c r="AN165" s="6"/>
      <c r="AO165" s="6"/>
      <c r="AP165" s="6"/>
      <c r="AQ165" s="7"/>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6"/>
      <c r="AC166" s="6"/>
      <c r="AD166" s="6"/>
      <c r="AE166" s="6"/>
      <c r="AF166" s="6"/>
      <c r="AG166" s="6"/>
      <c r="AH166" s="6"/>
      <c r="AI166" s="6"/>
      <c r="AJ166" s="6"/>
      <c r="AK166" s="6"/>
      <c r="AL166" s="6"/>
      <c r="AM166" s="6"/>
      <c r="AN166" s="6"/>
      <c r="AO166" s="6"/>
      <c r="AP166" s="6"/>
      <c r="AQ166" s="7"/>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6"/>
      <c r="AC167" s="6"/>
      <c r="AD167" s="6"/>
      <c r="AE167" s="6"/>
      <c r="AF167" s="6"/>
      <c r="AG167" s="6"/>
      <c r="AH167" s="6"/>
      <c r="AI167" s="6"/>
      <c r="AJ167" s="6"/>
      <c r="AK167" s="6"/>
      <c r="AL167" s="6"/>
      <c r="AM167" s="6"/>
      <c r="AN167" s="6"/>
      <c r="AO167" s="6"/>
      <c r="AP167" s="6"/>
      <c r="AQ167" s="7"/>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6"/>
      <c r="AC168" s="6"/>
      <c r="AD168" s="6"/>
      <c r="AE168" s="6"/>
      <c r="AF168" s="6"/>
      <c r="AG168" s="6"/>
      <c r="AH168" s="6"/>
      <c r="AI168" s="6"/>
      <c r="AJ168" s="6"/>
      <c r="AK168" s="6"/>
      <c r="AL168" s="6"/>
      <c r="AM168" s="6"/>
      <c r="AN168" s="6"/>
      <c r="AO168" s="6"/>
      <c r="AP168" s="6"/>
      <c r="AQ168" s="7"/>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6"/>
      <c r="AC169" s="6"/>
      <c r="AD169" s="6"/>
      <c r="AE169" s="6"/>
      <c r="AF169" s="6"/>
      <c r="AG169" s="6"/>
      <c r="AH169" s="6"/>
      <c r="AI169" s="6"/>
      <c r="AJ169" s="6"/>
      <c r="AK169" s="6"/>
      <c r="AL169" s="6"/>
      <c r="AM169" s="6"/>
      <c r="AN169" s="6"/>
      <c r="AO169" s="6"/>
      <c r="AP169" s="6"/>
      <c r="AQ169" s="7"/>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6"/>
      <c r="AC170" s="6"/>
      <c r="AD170" s="6"/>
      <c r="AE170" s="6"/>
      <c r="AF170" s="6"/>
      <c r="AG170" s="6"/>
      <c r="AH170" s="6"/>
      <c r="AI170" s="6"/>
      <c r="AJ170" s="6"/>
      <c r="AK170" s="6"/>
      <c r="AL170" s="6"/>
      <c r="AM170" s="6"/>
      <c r="AN170" s="6"/>
      <c r="AO170" s="6"/>
      <c r="AP170" s="6"/>
      <c r="AQ170" s="7"/>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6"/>
      <c r="AC171" s="6"/>
      <c r="AD171" s="6"/>
      <c r="AE171" s="6"/>
      <c r="AF171" s="6"/>
      <c r="AG171" s="6"/>
      <c r="AH171" s="6"/>
      <c r="AI171" s="6"/>
      <c r="AJ171" s="6"/>
      <c r="AK171" s="6"/>
      <c r="AL171" s="6"/>
      <c r="AM171" s="6"/>
      <c r="AN171" s="6"/>
      <c r="AO171" s="6"/>
      <c r="AP171" s="6"/>
      <c r="AQ171" s="7"/>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6"/>
      <c r="AC172" s="6"/>
      <c r="AD172" s="6"/>
      <c r="AE172" s="6"/>
      <c r="AF172" s="6"/>
      <c r="AG172" s="6"/>
      <c r="AH172" s="6"/>
      <c r="AI172" s="6"/>
      <c r="AJ172" s="6"/>
      <c r="AK172" s="6"/>
      <c r="AL172" s="6"/>
      <c r="AM172" s="6"/>
      <c r="AN172" s="6"/>
      <c r="AO172" s="6"/>
      <c r="AP172" s="6"/>
      <c r="AQ172" s="7"/>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6"/>
      <c r="AC173" s="6"/>
      <c r="AD173" s="6"/>
      <c r="AE173" s="6"/>
      <c r="AF173" s="6"/>
      <c r="AG173" s="6"/>
      <c r="AH173" s="6"/>
      <c r="AI173" s="6"/>
      <c r="AJ173" s="6"/>
      <c r="AK173" s="6"/>
      <c r="AL173" s="6"/>
      <c r="AM173" s="6"/>
      <c r="AN173" s="6"/>
      <c r="AO173" s="6"/>
      <c r="AP173" s="6"/>
      <c r="AQ173" s="7"/>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6"/>
      <c r="AC174" s="6"/>
      <c r="AD174" s="6"/>
      <c r="AE174" s="6"/>
      <c r="AF174" s="6"/>
      <c r="AG174" s="6"/>
      <c r="AH174" s="6"/>
      <c r="AI174" s="6"/>
      <c r="AJ174" s="6"/>
      <c r="AK174" s="6"/>
      <c r="AL174" s="6"/>
      <c r="AM174" s="6"/>
      <c r="AN174" s="6"/>
      <c r="AO174" s="6"/>
      <c r="AP174" s="6"/>
      <c r="AQ174" s="7"/>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6"/>
      <c r="AC175" s="6"/>
      <c r="AD175" s="6"/>
      <c r="AE175" s="6"/>
      <c r="AF175" s="6"/>
      <c r="AG175" s="6"/>
      <c r="AH175" s="6"/>
      <c r="AI175" s="6"/>
      <c r="AJ175" s="6"/>
      <c r="AK175" s="6"/>
      <c r="AL175" s="6"/>
      <c r="AM175" s="6"/>
      <c r="AN175" s="6"/>
      <c r="AO175" s="6"/>
      <c r="AP175" s="6"/>
      <c r="AQ175" s="7"/>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6"/>
      <c r="AC176" s="6"/>
      <c r="AD176" s="6"/>
      <c r="AE176" s="6"/>
      <c r="AF176" s="6"/>
      <c r="AG176" s="6"/>
      <c r="AH176" s="6"/>
      <c r="AI176" s="6"/>
      <c r="AJ176" s="6"/>
      <c r="AK176" s="6"/>
      <c r="AL176" s="6"/>
      <c r="AM176" s="6"/>
      <c r="AN176" s="6"/>
      <c r="AO176" s="6"/>
      <c r="AP176" s="6"/>
      <c r="AQ176" s="7"/>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6"/>
      <c r="AC177" s="6"/>
      <c r="AD177" s="6"/>
      <c r="AE177" s="6"/>
      <c r="AF177" s="6"/>
      <c r="AG177" s="6"/>
      <c r="AH177" s="6"/>
      <c r="AI177" s="6"/>
      <c r="AJ177" s="6"/>
      <c r="AK177" s="6"/>
      <c r="AL177" s="6"/>
      <c r="AM177" s="6"/>
      <c r="AN177" s="6"/>
      <c r="AO177" s="6"/>
      <c r="AP177" s="6"/>
      <c r="AQ177" s="7"/>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6"/>
      <c r="AC178" s="6"/>
      <c r="AD178" s="6"/>
      <c r="AE178" s="6"/>
      <c r="AF178" s="6"/>
      <c r="AG178" s="6"/>
      <c r="AH178" s="6"/>
      <c r="AI178" s="6"/>
      <c r="AJ178" s="6"/>
      <c r="AK178" s="6"/>
      <c r="AL178" s="6"/>
      <c r="AM178" s="6"/>
      <c r="AN178" s="6"/>
      <c r="AO178" s="6"/>
      <c r="AP178" s="6"/>
      <c r="AQ178" s="7"/>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6"/>
      <c r="AC179" s="6"/>
      <c r="AD179" s="6"/>
      <c r="AE179" s="6"/>
      <c r="AF179" s="6"/>
      <c r="AG179" s="6"/>
      <c r="AH179" s="6"/>
      <c r="AI179" s="6"/>
      <c r="AJ179" s="6"/>
      <c r="AK179" s="6"/>
      <c r="AL179" s="6"/>
      <c r="AM179" s="6"/>
      <c r="AN179" s="6"/>
      <c r="AO179" s="6"/>
      <c r="AP179" s="6"/>
      <c r="AQ179" s="7"/>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6"/>
      <c r="AC180" s="6"/>
      <c r="AD180" s="6"/>
      <c r="AE180" s="6"/>
      <c r="AF180" s="6"/>
      <c r="AG180" s="6"/>
      <c r="AH180" s="6"/>
      <c r="AI180" s="6"/>
      <c r="AJ180" s="6"/>
      <c r="AK180" s="6"/>
      <c r="AL180" s="6"/>
      <c r="AM180" s="6"/>
      <c r="AN180" s="6"/>
      <c r="AO180" s="6"/>
      <c r="AP180" s="6"/>
      <c r="AQ180" s="7"/>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6"/>
      <c r="AC181" s="6"/>
      <c r="AD181" s="6"/>
      <c r="AE181" s="6"/>
      <c r="AF181" s="6"/>
      <c r="AG181" s="6"/>
      <c r="AH181" s="6"/>
      <c r="AI181" s="6"/>
      <c r="AJ181" s="6"/>
      <c r="AK181" s="6"/>
      <c r="AL181" s="6"/>
      <c r="AM181" s="6"/>
      <c r="AN181" s="6"/>
      <c r="AO181" s="6"/>
      <c r="AP181" s="6"/>
      <c r="AQ181" s="7"/>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6"/>
      <c r="AC182" s="6"/>
      <c r="AD182" s="6"/>
      <c r="AE182" s="6"/>
      <c r="AF182" s="6"/>
      <c r="AG182" s="6"/>
      <c r="AH182" s="6"/>
      <c r="AI182" s="6"/>
      <c r="AJ182" s="6"/>
      <c r="AK182" s="6"/>
      <c r="AL182" s="6"/>
      <c r="AM182" s="6"/>
      <c r="AN182" s="6"/>
      <c r="AO182" s="6"/>
      <c r="AP182" s="6"/>
      <c r="AQ182" s="7"/>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6"/>
      <c r="AC183" s="6"/>
      <c r="AD183" s="6"/>
      <c r="AE183" s="6"/>
      <c r="AF183" s="6"/>
      <c r="AG183" s="6"/>
      <c r="AH183" s="6"/>
      <c r="AI183" s="6"/>
      <c r="AJ183" s="6"/>
      <c r="AK183" s="6"/>
      <c r="AL183" s="6"/>
      <c r="AM183" s="6"/>
      <c r="AN183" s="6"/>
      <c r="AO183" s="6"/>
      <c r="AP183" s="6"/>
      <c r="AQ183" s="7"/>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6"/>
      <c r="AC184" s="6"/>
      <c r="AD184" s="6"/>
      <c r="AE184" s="6"/>
      <c r="AF184" s="6"/>
      <c r="AG184" s="6"/>
      <c r="AH184" s="6"/>
      <c r="AI184" s="6"/>
      <c r="AJ184" s="6"/>
      <c r="AK184" s="6"/>
      <c r="AL184" s="6"/>
      <c r="AM184" s="6"/>
      <c r="AN184" s="6"/>
      <c r="AO184" s="6"/>
      <c r="AP184" s="6"/>
      <c r="AQ184" s="7"/>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6"/>
      <c r="AC185" s="6"/>
      <c r="AD185" s="6"/>
      <c r="AE185" s="6"/>
      <c r="AF185" s="6"/>
      <c r="AG185" s="6"/>
      <c r="AH185" s="6"/>
      <c r="AI185" s="6"/>
      <c r="AJ185" s="6"/>
      <c r="AK185" s="6"/>
      <c r="AL185" s="6"/>
      <c r="AM185" s="6"/>
      <c r="AN185" s="6"/>
      <c r="AO185" s="6"/>
      <c r="AP185" s="6"/>
      <c r="AQ185" s="7"/>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6"/>
      <c r="AC186" s="6"/>
      <c r="AD186" s="6"/>
      <c r="AE186" s="6"/>
      <c r="AF186" s="6"/>
      <c r="AG186" s="6"/>
      <c r="AH186" s="6"/>
      <c r="AI186" s="6"/>
      <c r="AJ186" s="6"/>
      <c r="AK186" s="6"/>
      <c r="AL186" s="6"/>
      <c r="AM186" s="6"/>
      <c r="AN186" s="6"/>
      <c r="AO186" s="6"/>
      <c r="AP186" s="6"/>
      <c r="AQ186" s="7"/>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6"/>
      <c r="AC187" s="6"/>
      <c r="AD187" s="6"/>
      <c r="AE187" s="6"/>
      <c r="AF187" s="6"/>
      <c r="AG187" s="6"/>
      <c r="AH187" s="6"/>
      <c r="AI187" s="6"/>
      <c r="AJ187" s="6"/>
      <c r="AK187" s="6"/>
      <c r="AL187" s="6"/>
      <c r="AM187" s="6"/>
      <c r="AN187" s="6"/>
      <c r="AO187" s="6"/>
      <c r="AP187" s="6"/>
      <c r="AQ187" s="7"/>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6"/>
      <c r="AC188" s="6"/>
      <c r="AD188" s="6"/>
      <c r="AE188" s="6"/>
      <c r="AF188" s="6"/>
      <c r="AG188" s="6"/>
      <c r="AH188" s="6"/>
      <c r="AI188" s="6"/>
      <c r="AJ188" s="6"/>
      <c r="AK188" s="6"/>
      <c r="AL188" s="6"/>
      <c r="AM188" s="6"/>
      <c r="AN188" s="6"/>
      <c r="AO188" s="6"/>
      <c r="AP188" s="6"/>
      <c r="AQ188" s="7"/>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6"/>
      <c r="AC189" s="6"/>
      <c r="AD189" s="6"/>
      <c r="AE189" s="6"/>
      <c r="AF189" s="6"/>
      <c r="AG189" s="6"/>
      <c r="AH189" s="6"/>
      <c r="AI189" s="6"/>
      <c r="AJ189" s="6"/>
      <c r="AK189" s="6"/>
      <c r="AL189" s="6"/>
      <c r="AM189" s="6"/>
      <c r="AN189" s="6"/>
      <c r="AO189" s="6"/>
      <c r="AP189" s="6"/>
      <c r="AQ189" s="7"/>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6"/>
      <c r="AC190" s="6"/>
      <c r="AD190" s="6"/>
      <c r="AE190" s="6"/>
      <c r="AF190" s="6"/>
      <c r="AG190" s="6"/>
      <c r="AH190" s="6"/>
      <c r="AI190" s="6"/>
      <c r="AJ190" s="6"/>
      <c r="AK190" s="6"/>
      <c r="AL190" s="6"/>
      <c r="AM190" s="6"/>
      <c r="AN190" s="6"/>
      <c r="AO190" s="6"/>
      <c r="AP190" s="6"/>
      <c r="AQ190" s="7"/>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6"/>
      <c r="AC191" s="6"/>
      <c r="AD191" s="6"/>
      <c r="AE191" s="6"/>
      <c r="AF191" s="6"/>
      <c r="AG191" s="6"/>
      <c r="AH191" s="6"/>
      <c r="AI191" s="6"/>
      <c r="AJ191" s="6"/>
      <c r="AK191" s="6"/>
      <c r="AL191" s="6"/>
      <c r="AM191" s="6"/>
      <c r="AN191" s="6"/>
      <c r="AO191" s="6"/>
      <c r="AP191" s="6"/>
      <c r="AQ191" s="7"/>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6"/>
      <c r="AC192" s="6"/>
      <c r="AD192" s="6"/>
      <c r="AE192" s="6"/>
      <c r="AF192" s="6"/>
      <c r="AG192" s="6"/>
      <c r="AH192" s="6"/>
      <c r="AI192" s="6"/>
      <c r="AJ192" s="6"/>
      <c r="AK192" s="6"/>
      <c r="AL192" s="6"/>
      <c r="AM192" s="6"/>
      <c r="AN192" s="6"/>
      <c r="AO192" s="6"/>
      <c r="AP192" s="6"/>
      <c r="AQ192" s="7"/>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6"/>
      <c r="AC193" s="6"/>
      <c r="AD193" s="6"/>
      <c r="AE193" s="6"/>
      <c r="AF193" s="6"/>
      <c r="AG193" s="6"/>
      <c r="AH193" s="6"/>
      <c r="AI193" s="6"/>
      <c r="AJ193" s="6"/>
      <c r="AK193" s="6"/>
      <c r="AL193" s="6"/>
      <c r="AM193" s="6"/>
      <c r="AN193" s="6"/>
      <c r="AO193" s="6"/>
      <c r="AP193" s="6"/>
      <c r="AQ193" s="7"/>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6"/>
      <c r="AC194" s="6"/>
      <c r="AD194" s="6"/>
      <c r="AE194" s="6"/>
      <c r="AF194" s="6"/>
      <c r="AG194" s="6"/>
      <c r="AH194" s="6"/>
      <c r="AI194" s="6"/>
      <c r="AJ194" s="6"/>
      <c r="AK194" s="6"/>
      <c r="AL194" s="6"/>
      <c r="AM194" s="6"/>
      <c r="AN194" s="6"/>
      <c r="AO194" s="6"/>
      <c r="AP194" s="6"/>
      <c r="AQ194" s="7"/>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6"/>
      <c r="AC195" s="6"/>
      <c r="AD195" s="6"/>
      <c r="AE195" s="6"/>
      <c r="AF195" s="6"/>
      <c r="AG195" s="6"/>
      <c r="AH195" s="6"/>
      <c r="AI195" s="6"/>
      <c r="AJ195" s="6"/>
      <c r="AK195" s="6"/>
      <c r="AL195" s="6"/>
      <c r="AM195" s="6"/>
      <c r="AN195" s="6"/>
      <c r="AO195" s="6"/>
      <c r="AP195" s="6"/>
      <c r="AQ195" s="7"/>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6"/>
      <c r="AC196" s="6"/>
      <c r="AD196" s="6"/>
      <c r="AE196" s="6"/>
      <c r="AF196" s="6"/>
      <c r="AG196" s="6"/>
      <c r="AH196" s="6"/>
      <c r="AI196" s="6"/>
      <c r="AJ196" s="6"/>
      <c r="AK196" s="6"/>
      <c r="AL196" s="6"/>
      <c r="AM196" s="6"/>
      <c r="AN196" s="6"/>
      <c r="AO196" s="6"/>
      <c r="AP196" s="6"/>
      <c r="AQ196" s="7"/>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6"/>
      <c r="AC197" s="6"/>
      <c r="AD197" s="6"/>
      <c r="AE197" s="6"/>
      <c r="AF197" s="6"/>
      <c r="AG197" s="6"/>
      <c r="AH197" s="6"/>
      <c r="AI197" s="6"/>
      <c r="AJ197" s="6"/>
      <c r="AK197" s="6"/>
      <c r="AL197" s="6"/>
      <c r="AM197" s="6"/>
      <c r="AN197" s="6"/>
      <c r="AO197" s="6"/>
      <c r="AP197" s="6"/>
      <c r="AQ197" s="7"/>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6"/>
      <c r="AC198" s="6"/>
      <c r="AD198" s="6"/>
      <c r="AE198" s="6"/>
      <c r="AF198" s="6"/>
      <c r="AG198" s="6"/>
      <c r="AH198" s="6"/>
      <c r="AI198" s="6"/>
      <c r="AJ198" s="6"/>
      <c r="AK198" s="6"/>
      <c r="AL198" s="6"/>
      <c r="AM198" s="6"/>
      <c r="AN198" s="6"/>
      <c r="AO198" s="6"/>
      <c r="AP198" s="6"/>
      <c r="AQ198" s="7"/>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6"/>
      <c r="AC199" s="6"/>
      <c r="AD199" s="6"/>
      <c r="AE199" s="6"/>
      <c r="AF199" s="6"/>
      <c r="AG199" s="6"/>
      <c r="AH199" s="6"/>
      <c r="AI199" s="6"/>
      <c r="AJ199" s="6"/>
      <c r="AK199" s="6"/>
      <c r="AL199" s="6"/>
      <c r="AM199" s="6"/>
      <c r="AN199" s="6"/>
      <c r="AO199" s="6"/>
      <c r="AP199" s="6"/>
      <c r="AQ199" s="7"/>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6"/>
      <c r="AC200" s="6"/>
      <c r="AD200" s="6"/>
      <c r="AE200" s="6"/>
      <c r="AF200" s="6"/>
      <c r="AG200" s="6"/>
      <c r="AH200" s="6"/>
      <c r="AI200" s="6"/>
      <c r="AJ200" s="6"/>
      <c r="AK200" s="6"/>
      <c r="AL200" s="6"/>
      <c r="AM200" s="6"/>
      <c r="AN200" s="6"/>
      <c r="AO200" s="6"/>
      <c r="AP200" s="6"/>
      <c r="AQ200" s="7"/>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6"/>
      <c r="AC201" s="6"/>
      <c r="AD201" s="6"/>
      <c r="AE201" s="6"/>
      <c r="AF201" s="6"/>
      <c r="AG201" s="6"/>
      <c r="AH201" s="6"/>
      <c r="AI201" s="6"/>
      <c r="AJ201" s="6"/>
      <c r="AK201" s="6"/>
      <c r="AL201" s="6"/>
      <c r="AM201" s="6"/>
      <c r="AN201" s="6"/>
      <c r="AO201" s="6"/>
      <c r="AP201" s="6"/>
      <c r="AQ201" s="7"/>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6"/>
      <c r="AC202" s="6"/>
      <c r="AD202" s="6"/>
      <c r="AE202" s="6"/>
      <c r="AF202" s="6"/>
      <c r="AG202" s="6"/>
      <c r="AH202" s="6"/>
      <c r="AI202" s="6"/>
      <c r="AJ202" s="6"/>
      <c r="AK202" s="6"/>
      <c r="AL202" s="6"/>
      <c r="AM202" s="6"/>
      <c r="AN202" s="6"/>
      <c r="AO202" s="6"/>
      <c r="AP202" s="6"/>
      <c r="AQ202" s="7"/>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6"/>
      <c r="AC203" s="6"/>
      <c r="AD203" s="6"/>
      <c r="AE203" s="6"/>
      <c r="AF203" s="6"/>
      <c r="AG203" s="6"/>
      <c r="AH203" s="6"/>
      <c r="AI203" s="6"/>
      <c r="AJ203" s="6"/>
      <c r="AK203" s="6"/>
      <c r="AL203" s="6"/>
      <c r="AM203" s="6"/>
      <c r="AN203" s="6"/>
      <c r="AO203" s="6"/>
      <c r="AP203" s="6"/>
      <c r="AQ203" s="7"/>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6"/>
      <c r="AC204" s="6"/>
      <c r="AD204" s="6"/>
      <c r="AE204" s="6"/>
      <c r="AF204" s="6"/>
      <c r="AG204" s="6"/>
      <c r="AH204" s="6"/>
      <c r="AI204" s="6"/>
      <c r="AJ204" s="6"/>
      <c r="AK204" s="6"/>
      <c r="AL204" s="6"/>
      <c r="AM204" s="6"/>
      <c r="AN204" s="6"/>
      <c r="AO204" s="6"/>
      <c r="AP204" s="6"/>
      <c r="AQ204" s="7"/>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6"/>
      <c r="AC205" s="6"/>
      <c r="AD205" s="6"/>
      <c r="AE205" s="6"/>
      <c r="AF205" s="6"/>
      <c r="AG205" s="6"/>
      <c r="AH205" s="6"/>
      <c r="AI205" s="6"/>
      <c r="AJ205" s="6"/>
      <c r="AK205" s="6"/>
      <c r="AL205" s="6"/>
      <c r="AM205" s="6"/>
      <c r="AN205" s="6"/>
      <c r="AO205" s="6"/>
      <c r="AP205" s="6"/>
      <c r="AQ205" s="7"/>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6"/>
      <c r="AC206" s="6"/>
      <c r="AD206" s="6"/>
      <c r="AE206" s="6"/>
      <c r="AF206" s="6"/>
      <c r="AG206" s="6"/>
      <c r="AH206" s="6"/>
      <c r="AI206" s="6"/>
      <c r="AJ206" s="6"/>
      <c r="AK206" s="6"/>
      <c r="AL206" s="6"/>
      <c r="AM206" s="6"/>
      <c r="AN206" s="6"/>
      <c r="AO206" s="6"/>
      <c r="AP206" s="6"/>
      <c r="AQ206" s="7"/>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6"/>
      <c r="AC207" s="6"/>
      <c r="AD207" s="6"/>
      <c r="AE207" s="6"/>
      <c r="AF207" s="6"/>
      <c r="AG207" s="6"/>
      <c r="AH207" s="6"/>
      <c r="AI207" s="6"/>
      <c r="AJ207" s="6"/>
      <c r="AK207" s="6"/>
      <c r="AL207" s="6"/>
      <c r="AM207" s="6"/>
      <c r="AN207" s="6"/>
      <c r="AO207" s="6"/>
      <c r="AP207" s="6"/>
      <c r="AQ207" s="7"/>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6"/>
      <c r="AC208" s="6"/>
      <c r="AD208" s="6"/>
      <c r="AE208" s="6"/>
      <c r="AF208" s="6"/>
      <c r="AG208" s="6"/>
      <c r="AH208" s="6"/>
      <c r="AI208" s="6"/>
      <c r="AJ208" s="6"/>
      <c r="AK208" s="6"/>
      <c r="AL208" s="6"/>
      <c r="AM208" s="6"/>
      <c r="AN208" s="6"/>
      <c r="AO208" s="6"/>
      <c r="AP208" s="6"/>
      <c r="AQ208" s="7"/>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6"/>
      <c r="AC209" s="6"/>
      <c r="AD209" s="6"/>
      <c r="AE209" s="6"/>
      <c r="AF209" s="6"/>
      <c r="AG209" s="6"/>
      <c r="AH209" s="6"/>
      <c r="AI209" s="6"/>
      <c r="AJ209" s="6"/>
      <c r="AK209" s="6"/>
      <c r="AL209" s="6"/>
      <c r="AM209" s="6"/>
      <c r="AN209" s="6"/>
      <c r="AO209" s="6"/>
      <c r="AP209" s="6"/>
      <c r="AQ209" s="7"/>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6"/>
      <c r="AC210" s="6"/>
      <c r="AD210" s="6"/>
      <c r="AE210" s="6"/>
      <c r="AF210" s="6"/>
      <c r="AG210" s="6"/>
      <c r="AH210" s="6"/>
      <c r="AI210" s="6"/>
      <c r="AJ210" s="6"/>
      <c r="AK210" s="6"/>
      <c r="AL210" s="6"/>
      <c r="AM210" s="6"/>
      <c r="AN210" s="6"/>
      <c r="AO210" s="6"/>
      <c r="AP210" s="6"/>
      <c r="AQ210" s="7"/>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6"/>
      <c r="AC211" s="6"/>
      <c r="AD211" s="6"/>
      <c r="AE211" s="6"/>
      <c r="AF211" s="6"/>
      <c r="AG211" s="6"/>
      <c r="AH211" s="6"/>
      <c r="AI211" s="6"/>
      <c r="AJ211" s="6"/>
      <c r="AK211" s="6"/>
      <c r="AL211" s="6"/>
      <c r="AM211" s="6"/>
      <c r="AN211" s="6"/>
      <c r="AO211" s="6"/>
      <c r="AP211" s="6"/>
      <c r="AQ211" s="7"/>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6"/>
      <c r="AC212" s="6"/>
      <c r="AD212" s="6"/>
      <c r="AE212" s="6"/>
      <c r="AF212" s="6"/>
      <c r="AG212" s="6"/>
      <c r="AH212" s="6"/>
      <c r="AI212" s="6"/>
      <c r="AJ212" s="6"/>
      <c r="AK212" s="6"/>
      <c r="AL212" s="6"/>
      <c r="AM212" s="6"/>
      <c r="AN212" s="6"/>
      <c r="AO212" s="6"/>
      <c r="AP212" s="6"/>
      <c r="AQ212" s="7"/>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6"/>
      <c r="AC213" s="6"/>
      <c r="AD213" s="6"/>
      <c r="AE213" s="6"/>
      <c r="AF213" s="6"/>
      <c r="AG213" s="6"/>
      <c r="AH213" s="6"/>
      <c r="AI213" s="6"/>
      <c r="AJ213" s="6"/>
      <c r="AK213" s="6"/>
      <c r="AL213" s="6"/>
      <c r="AM213" s="6"/>
      <c r="AN213" s="6"/>
      <c r="AO213" s="6"/>
      <c r="AP213" s="6"/>
      <c r="AQ213" s="7"/>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6"/>
      <c r="AC214" s="6"/>
      <c r="AD214" s="6"/>
      <c r="AE214" s="6"/>
      <c r="AF214" s="6"/>
      <c r="AG214" s="6"/>
      <c r="AH214" s="6"/>
      <c r="AI214" s="6"/>
      <c r="AJ214" s="6"/>
      <c r="AK214" s="6"/>
      <c r="AL214" s="6"/>
      <c r="AM214" s="6"/>
      <c r="AN214" s="6"/>
      <c r="AO214" s="6"/>
      <c r="AP214" s="6"/>
      <c r="AQ214" s="7"/>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6"/>
      <c r="AC215" s="6"/>
      <c r="AD215" s="6"/>
      <c r="AE215" s="6"/>
      <c r="AF215" s="6"/>
      <c r="AG215" s="6"/>
      <c r="AH215" s="6"/>
      <c r="AI215" s="6"/>
      <c r="AJ215" s="6"/>
      <c r="AK215" s="6"/>
      <c r="AL215" s="6"/>
      <c r="AM215" s="6"/>
      <c r="AN215" s="6"/>
      <c r="AO215" s="6"/>
      <c r="AP215" s="6"/>
      <c r="AQ215" s="7"/>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6"/>
      <c r="AC216" s="6"/>
      <c r="AD216" s="6"/>
      <c r="AE216" s="6"/>
      <c r="AF216" s="6"/>
      <c r="AG216" s="6"/>
      <c r="AH216" s="6"/>
      <c r="AI216" s="6"/>
      <c r="AJ216" s="6"/>
      <c r="AK216" s="6"/>
      <c r="AL216" s="6"/>
      <c r="AM216" s="6"/>
      <c r="AN216" s="6"/>
      <c r="AO216" s="6"/>
      <c r="AP216" s="6"/>
      <c r="AQ216" s="7"/>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6"/>
      <c r="AC217" s="6"/>
      <c r="AD217" s="6"/>
      <c r="AE217" s="6"/>
      <c r="AF217" s="6"/>
      <c r="AG217" s="6"/>
      <c r="AH217" s="6"/>
      <c r="AI217" s="6"/>
      <c r="AJ217" s="6"/>
      <c r="AK217" s="6"/>
      <c r="AL217" s="6"/>
      <c r="AM217" s="6"/>
      <c r="AN217" s="6"/>
      <c r="AO217" s="6"/>
      <c r="AP217" s="6"/>
      <c r="AQ217" s="7"/>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6"/>
      <c r="AC218" s="6"/>
      <c r="AD218" s="6"/>
      <c r="AE218" s="6"/>
      <c r="AF218" s="6"/>
      <c r="AG218" s="6"/>
      <c r="AH218" s="6"/>
      <c r="AI218" s="6"/>
      <c r="AJ218" s="6"/>
      <c r="AK218" s="6"/>
      <c r="AL218" s="6"/>
      <c r="AM218" s="6"/>
      <c r="AN218" s="6"/>
      <c r="AO218" s="6"/>
      <c r="AP218" s="6"/>
      <c r="AQ218" s="7"/>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6"/>
      <c r="AC219" s="6"/>
      <c r="AD219" s="6"/>
      <c r="AE219" s="6"/>
      <c r="AF219" s="6"/>
      <c r="AG219" s="6"/>
      <c r="AH219" s="6"/>
      <c r="AI219" s="6"/>
      <c r="AJ219" s="6"/>
      <c r="AK219" s="6"/>
      <c r="AL219" s="6"/>
      <c r="AM219" s="6"/>
      <c r="AN219" s="6"/>
      <c r="AO219" s="6"/>
      <c r="AP219" s="6"/>
      <c r="AQ219" s="7"/>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6"/>
      <c r="AC220" s="6"/>
      <c r="AD220" s="6"/>
      <c r="AE220" s="6"/>
      <c r="AF220" s="6"/>
      <c r="AG220" s="6"/>
      <c r="AH220" s="6"/>
      <c r="AI220" s="6"/>
      <c r="AJ220" s="6"/>
      <c r="AK220" s="6"/>
      <c r="AL220" s="6"/>
      <c r="AM220" s="6"/>
      <c r="AN220" s="6"/>
      <c r="AO220" s="6"/>
      <c r="AP220" s="6"/>
      <c r="AQ220" s="7"/>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6"/>
      <c r="AC221" s="6"/>
      <c r="AD221" s="6"/>
      <c r="AE221" s="6"/>
      <c r="AF221" s="6"/>
      <c r="AG221" s="6"/>
      <c r="AH221" s="6"/>
      <c r="AI221" s="6"/>
      <c r="AJ221" s="6"/>
      <c r="AK221" s="6"/>
      <c r="AL221" s="6"/>
      <c r="AM221" s="6"/>
      <c r="AN221" s="6"/>
      <c r="AO221" s="6"/>
      <c r="AP221" s="6"/>
      <c r="AQ221" s="7"/>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6"/>
      <c r="AC222" s="6"/>
      <c r="AD222" s="6"/>
      <c r="AE222" s="6"/>
      <c r="AF222" s="6"/>
      <c r="AG222" s="6"/>
      <c r="AH222" s="6"/>
      <c r="AI222" s="6"/>
      <c r="AJ222" s="6"/>
      <c r="AK222" s="6"/>
      <c r="AL222" s="6"/>
      <c r="AM222" s="6"/>
      <c r="AN222" s="6"/>
      <c r="AO222" s="6"/>
      <c r="AP222" s="6"/>
      <c r="AQ222" s="7"/>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6"/>
      <c r="AC223" s="6"/>
      <c r="AD223" s="6"/>
      <c r="AE223" s="6"/>
      <c r="AF223" s="6"/>
      <c r="AG223" s="6"/>
      <c r="AH223" s="6"/>
      <c r="AI223" s="6"/>
      <c r="AJ223" s="6"/>
      <c r="AK223" s="6"/>
      <c r="AL223" s="6"/>
      <c r="AM223" s="6"/>
      <c r="AN223" s="6"/>
      <c r="AO223" s="6"/>
      <c r="AP223" s="6"/>
      <c r="AQ223" s="7"/>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6"/>
      <c r="AC224" s="6"/>
      <c r="AD224" s="6"/>
      <c r="AE224" s="6"/>
      <c r="AF224" s="6"/>
      <c r="AG224" s="6"/>
      <c r="AH224" s="6"/>
      <c r="AI224" s="6"/>
      <c r="AJ224" s="6"/>
      <c r="AK224" s="6"/>
      <c r="AL224" s="6"/>
      <c r="AM224" s="6"/>
      <c r="AN224" s="6"/>
      <c r="AO224" s="6"/>
      <c r="AP224" s="6"/>
      <c r="AQ224" s="7"/>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6"/>
      <c r="AC225" s="6"/>
      <c r="AD225" s="6"/>
      <c r="AE225" s="6"/>
      <c r="AF225" s="6"/>
      <c r="AG225" s="6"/>
      <c r="AH225" s="6"/>
      <c r="AI225" s="6"/>
      <c r="AJ225" s="6"/>
      <c r="AK225" s="6"/>
      <c r="AL225" s="6"/>
      <c r="AM225" s="6"/>
      <c r="AN225" s="6"/>
      <c r="AO225" s="6"/>
      <c r="AP225" s="6"/>
      <c r="AQ225" s="7"/>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6"/>
      <c r="AC226" s="6"/>
      <c r="AD226" s="6"/>
      <c r="AE226" s="6"/>
      <c r="AF226" s="6"/>
      <c r="AG226" s="6"/>
      <c r="AH226" s="6"/>
      <c r="AI226" s="6"/>
      <c r="AJ226" s="6"/>
      <c r="AK226" s="6"/>
      <c r="AL226" s="6"/>
      <c r="AM226" s="6"/>
      <c r="AN226" s="6"/>
      <c r="AO226" s="6"/>
      <c r="AP226" s="6"/>
      <c r="AQ226" s="7"/>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6"/>
      <c r="AC227" s="6"/>
      <c r="AD227" s="6"/>
      <c r="AE227" s="6"/>
      <c r="AF227" s="6"/>
      <c r="AG227" s="6"/>
      <c r="AH227" s="6"/>
      <c r="AI227" s="6"/>
      <c r="AJ227" s="6"/>
      <c r="AK227" s="6"/>
      <c r="AL227" s="6"/>
      <c r="AM227" s="6"/>
      <c r="AN227" s="6"/>
      <c r="AO227" s="6"/>
      <c r="AP227" s="6"/>
      <c r="AQ227" s="7"/>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6"/>
      <c r="AC228" s="6"/>
      <c r="AD228" s="6"/>
      <c r="AE228" s="6"/>
      <c r="AF228" s="6"/>
      <c r="AG228" s="6"/>
      <c r="AH228" s="6"/>
      <c r="AI228" s="6"/>
      <c r="AJ228" s="6"/>
      <c r="AK228" s="6"/>
      <c r="AL228" s="6"/>
      <c r="AM228" s="6"/>
      <c r="AN228" s="6"/>
      <c r="AO228" s="6"/>
      <c r="AP228" s="6"/>
      <c r="AQ228" s="7"/>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6"/>
      <c r="AC229" s="6"/>
      <c r="AD229" s="6"/>
      <c r="AE229" s="6"/>
      <c r="AF229" s="6"/>
      <c r="AG229" s="6"/>
      <c r="AH229" s="6"/>
      <c r="AI229" s="6"/>
      <c r="AJ229" s="6"/>
      <c r="AK229" s="6"/>
      <c r="AL229" s="6"/>
      <c r="AM229" s="6"/>
      <c r="AN229" s="6"/>
      <c r="AO229" s="6"/>
      <c r="AP229" s="6"/>
      <c r="AQ229" s="7"/>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6"/>
      <c r="AC230" s="6"/>
      <c r="AD230" s="6"/>
      <c r="AE230" s="6"/>
      <c r="AF230" s="6"/>
      <c r="AG230" s="6"/>
      <c r="AH230" s="6"/>
      <c r="AI230" s="6"/>
      <c r="AJ230" s="6"/>
      <c r="AK230" s="6"/>
      <c r="AL230" s="6"/>
      <c r="AM230" s="6"/>
      <c r="AN230" s="6"/>
      <c r="AO230" s="6"/>
      <c r="AP230" s="6"/>
      <c r="AQ230" s="7"/>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6"/>
      <c r="AC231" s="6"/>
      <c r="AD231" s="6"/>
      <c r="AE231" s="6"/>
      <c r="AF231" s="6"/>
      <c r="AG231" s="6"/>
      <c r="AH231" s="6"/>
      <c r="AI231" s="6"/>
      <c r="AJ231" s="6"/>
      <c r="AK231" s="6"/>
      <c r="AL231" s="6"/>
      <c r="AM231" s="6"/>
      <c r="AN231" s="6"/>
      <c r="AO231" s="6"/>
      <c r="AP231" s="6"/>
      <c r="AQ231" s="7"/>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6"/>
      <c r="AC232" s="6"/>
      <c r="AD232" s="6"/>
      <c r="AE232" s="6"/>
      <c r="AF232" s="6"/>
      <c r="AG232" s="6"/>
      <c r="AH232" s="6"/>
      <c r="AI232" s="6"/>
      <c r="AJ232" s="6"/>
      <c r="AK232" s="6"/>
      <c r="AL232" s="6"/>
      <c r="AM232" s="6"/>
      <c r="AN232" s="6"/>
      <c r="AO232" s="6"/>
      <c r="AP232" s="6"/>
      <c r="AQ232" s="7"/>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6"/>
      <c r="AC233" s="6"/>
      <c r="AD233" s="6"/>
      <c r="AE233" s="6"/>
      <c r="AF233" s="6"/>
      <c r="AG233" s="6"/>
      <c r="AH233" s="6"/>
      <c r="AI233" s="6"/>
      <c r="AJ233" s="6"/>
      <c r="AK233" s="6"/>
      <c r="AL233" s="6"/>
      <c r="AM233" s="6"/>
      <c r="AN233" s="6"/>
      <c r="AO233" s="6"/>
      <c r="AP233" s="6"/>
      <c r="AQ233" s="7"/>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6"/>
      <c r="AC234" s="6"/>
      <c r="AD234" s="6"/>
      <c r="AE234" s="6"/>
      <c r="AF234" s="6"/>
      <c r="AG234" s="6"/>
      <c r="AH234" s="6"/>
      <c r="AI234" s="6"/>
      <c r="AJ234" s="6"/>
      <c r="AK234" s="6"/>
      <c r="AL234" s="6"/>
      <c r="AM234" s="6"/>
      <c r="AN234" s="6"/>
      <c r="AO234" s="6"/>
      <c r="AP234" s="6"/>
      <c r="AQ234" s="7"/>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6"/>
      <c r="AC235" s="6"/>
      <c r="AD235" s="6"/>
      <c r="AE235" s="6"/>
      <c r="AF235" s="6"/>
      <c r="AG235" s="6"/>
      <c r="AH235" s="6"/>
      <c r="AI235" s="6"/>
      <c r="AJ235" s="6"/>
      <c r="AK235" s="6"/>
      <c r="AL235" s="6"/>
      <c r="AM235" s="6"/>
      <c r="AN235" s="6"/>
      <c r="AO235" s="6"/>
      <c r="AP235" s="6"/>
      <c r="AQ235" s="7"/>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6"/>
      <c r="AC236" s="6"/>
      <c r="AD236" s="6"/>
      <c r="AE236" s="6"/>
      <c r="AF236" s="6"/>
      <c r="AG236" s="6"/>
      <c r="AH236" s="6"/>
      <c r="AI236" s="6"/>
      <c r="AJ236" s="6"/>
      <c r="AK236" s="6"/>
      <c r="AL236" s="6"/>
      <c r="AM236" s="6"/>
      <c r="AN236" s="6"/>
      <c r="AO236" s="6"/>
      <c r="AP236" s="6"/>
      <c r="AQ236" s="7"/>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6"/>
      <c r="AC237" s="6"/>
      <c r="AD237" s="6"/>
      <c r="AE237" s="6"/>
      <c r="AF237" s="6"/>
      <c r="AG237" s="6"/>
      <c r="AH237" s="6"/>
      <c r="AI237" s="6"/>
      <c r="AJ237" s="6"/>
      <c r="AK237" s="6"/>
      <c r="AL237" s="6"/>
      <c r="AM237" s="6"/>
      <c r="AN237" s="6"/>
      <c r="AO237" s="6"/>
      <c r="AP237" s="6"/>
      <c r="AQ237" s="7"/>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6"/>
      <c r="AC238" s="6"/>
      <c r="AD238" s="6"/>
      <c r="AE238" s="6"/>
      <c r="AF238" s="6"/>
      <c r="AG238" s="6"/>
      <c r="AH238" s="6"/>
      <c r="AI238" s="6"/>
      <c r="AJ238" s="6"/>
      <c r="AK238" s="6"/>
      <c r="AL238" s="6"/>
      <c r="AM238" s="6"/>
      <c r="AN238" s="6"/>
      <c r="AO238" s="6"/>
      <c r="AP238" s="6"/>
      <c r="AQ238" s="7"/>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6"/>
      <c r="AC239" s="6"/>
      <c r="AD239" s="6"/>
      <c r="AE239" s="6"/>
      <c r="AF239" s="6"/>
      <c r="AG239" s="6"/>
      <c r="AH239" s="6"/>
      <c r="AI239" s="6"/>
      <c r="AJ239" s="6"/>
      <c r="AK239" s="6"/>
      <c r="AL239" s="6"/>
      <c r="AM239" s="6"/>
      <c r="AN239" s="6"/>
      <c r="AO239" s="6"/>
      <c r="AP239" s="6"/>
      <c r="AQ239" s="7"/>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6"/>
      <c r="AC240" s="6"/>
      <c r="AD240" s="6"/>
      <c r="AE240" s="6"/>
      <c r="AF240" s="6"/>
      <c r="AG240" s="6"/>
      <c r="AH240" s="6"/>
      <c r="AI240" s="6"/>
      <c r="AJ240" s="6"/>
      <c r="AK240" s="6"/>
      <c r="AL240" s="6"/>
      <c r="AM240" s="6"/>
      <c r="AN240" s="6"/>
      <c r="AO240" s="6"/>
      <c r="AP240" s="6"/>
      <c r="AQ240" s="7"/>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6"/>
      <c r="AC241" s="6"/>
      <c r="AD241" s="6"/>
      <c r="AE241" s="6"/>
      <c r="AF241" s="6"/>
      <c r="AG241" s="6"/>
      <c r="AH241" s="6"/>
      <c r="AI241" s="6"/>
      <c r="AJ241" s="6"/>
      <c r="AK241" s="6"/>
      <c r="AL241" s="6"/>
      <c r="AM241" s="6"/>
      <c r="AN241" s="6"/>
      <c r="AO241" s="6"/>
      <c r="AP241" s="6"/>
      <c r="AQ241" s="7"/>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6"/>
      <c r="AC242" s="6"/>
      <c r="AD242" s="6"/>
      <c r="AE242" s="6"/>
      <c r="AF242" s="6"/>
      <c r="AG242" s="6"/>
      <c r="AH242" s="6"/>
      <c r="AI242" s="6"/>
      <c r="AJ242" s="6"/>
      <c r="AK242" s="6"/>
      <c r="AL242" s="6"/>
      <c r="AM242" s="6"/>
      <c r="AN242" s="6"/>
      <c r="AO242" s="6"/>
      <c r="AP242" s="6"/>
      <c r="AQ242" s="7"/>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6"/>
      <c r="AC243" s="6"/>
      <c r="AD243" s="6"/>
      <c r="AE243" s="6"/>
      <c r="AF243" s="6"/>
      <c r="AG243" s="6"/>
      <c r="AH243" s="6"/>
      <c r="AI243" s="6"/>
      <c r="AJ243" s="6"/>
      <c r="AK243" s="6"/>
      <c r="AL243" s="6"/>
      <c r="AM243" s="6"/>
      <c r="AN243" s="6"/>
      <c r="AO243" s="6"/>
      <c r="AP243" s="6"/>
      <c r="AQ243" s="7"/>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6"/>
      <c r="AC244" s="6"/>
      <c r="AD244" s="6"/>
      <c r="AE244" s="6"/>
      <c r="AF244" s="6"/>
      <c r="AG244" s="6"/>
      <c r="AH244" s="6"/>
      <c r="AI244" s="6"/>
      <c r="AJ244" s="6"/>
      <c r="AK244" s="6"/>
      <c r="AL244" s="6"/>
      <c r="AM244" s="6"/>
      <c r="AN244" s="6"/>
      <c r="AO244" s="6"/>
      <c r="AP244" s="6"/>
      <c r="AQ244" s="7"/>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6"/>
      <c r="AC245" s="6"/>
      <c r="AD245" s="6"/>
      <c r="AE245" s="6"/>
      <c r="AF245" s="6"/>
      <c r="AG245" s="6"/>
      <c r="AH245" s="6"/>
      <c r="AI245" s="6"/>
      <c r="AJ245" s="6"/>
      <c r="AK245" s="6"/>
      <c r="AL245" s="6"/>
      <c r="AM245" s="6"/>
      <c r="AN245" s="6"/>
      <c r="AO245" s="6"/>
      <c r="AP245" s="6"/>
      <c r="AQ245" s="7"/>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6"/>
      <c r="AC246" s="6"/>
      <c r="AD246" s="6"/>
      <c r="AE246" s="6"/>
      <c r="AF246" s="6"/>
      <c r="AG246" s="6"/>
      <c r="AH246" s="6"/>
      <c r="AI246" s="6"/>
      <c r="AJ246" s="6"/>
      <c r="AK246" s="6"/>
      <c r="AL246" s="6"/>
      <c r="AM246" s="6"/>
      <c r="AN246" s="6"/>
      <c r="AO246" s="6"/>
      <c r="AP246" s="6"/>
      <c r="AQ246" s="7"/>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6"/>
      <c r="AC247" s="6"/>
      <c r="AD247" s="6"/>
      <c r="AE247" s="6"/>
      <c r="AF247" s="6"/>
      <c r="AG247" s="6"/>
      <c r="AH247" s="6"/>
      <c r="AI247" s="6"/>
      <c r="AJ247" s="6"/>
      <c r="AK247" s="6"/>
      <c r="AL247" s="6"/>
      <c r="AM247" s="6"/>
      <c r="AN247" s="6"/>
      <c r="AO247" s="6"/>
      <c r="AP247" s="6"/>
      <c r="AQ247" s="7"/>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6"/>
      <c r="AC248" s="6"/>
      <c r="AD248" s="6"/>
      <c r="AE248" s="6"/>
      <c r="AF248" s="6"/>
      <c r="AG248" s="6"/>
      <c r="AH248" s="6"/>
      <c r="AI248" s="6"/>
      <c r="AJ248" s="6"/>
      <c r="AK248" s="6"/>
      <c r="AL248" s="6"/>
      <c r="AM248" s="6"/>
      <c r="AN248" s="6"/>
      <c r="AO248" s="6"/>
      <c r="AP248" s="6"/>
      <c r="AQ248" s="7"/>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6"/>
      <c r="AC249" s="6"/>
      <c r="AD249" s="6"/>
      <c r="AE249" s="6"/>
      <c r="AF249" s="6"/>
      <c r="AG249" s="6"/>
      <c r="AH249" s="6"/>
      <c r="AI249" s="6"/>
      <c r="AJ249" s="6"/>
      <c r="AK249" s="6"/>
      <c r="AL249" s="6"/>
      <c r="AM249" s="6"/>
      <c r="AN249" s="6"/>
      <c r="AO249" s="6"/>
      <c r="AP249" s="6"/>
      <c r="AQ249" s="7"/>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6"/>
      <c r="AC250" s="6"/>
      <c r="AD250" s="6"/>
      <c r="AE250" s="6"/>
      <c r="AF250" s="6"/>
      <c r="AG250" s="6"/>
      <c r="AH250" s="6"/>
      <c r="AI250" s="6"/>
      <c r="AJ250" s="6"/>
      <c r="AK250" s="6"/>
      <c r="AL250" s="6"/>
      <c r="AM250" s="6"/>
      <c r="AN250" s="6"/>
      <c r="AO250" s="6"/>
      <c r="AP250" s="6"/>
      <c r="AQ250" s="7"/>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6"/>
      <c r="AC251" s="6"/>
      <c r="AD251" s="6"/>
      <c r="AE251" s="6"/>
      <c r="AF251" s="6"/>
      <c r="AG251" s="6"/>
      <c r="AH251" s="6"/>
      <c r="AI251" s="6"/>
      <c r="AJ251" s="6"/>
      <c r="AK251" s="6"/>
      <c r="AL251" s="6"/>
      <c r="AM251" s="6"/>
      <c r="AN251" s="6"/>
      <c r="AO251" s="6"/>
      <c r="AP251" s="6"/>
      <c r="AQ251" s="7"/>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6"/>
      <c r="AC252" s="6"/>
      <c r="AD252" s="6"/>
      <c r="AE252" s="6"/>
      <c r="AF252" s="6"/>
      <c r="AG252" s="6"/>
      <c r="AH252" s="6"/>
      <c r="AI252" s="6"/>
      <c r="AJ252" s="6"/>
      <c r="AK252" s="6"/>
      <c r="AL252" s="6"/>
      <c r="AM252" s="6"/>
      <c r="AN252" s="6"/>
      <c r="AO252" s="6"/>
      <c r="AP252" s="6"/>
      <c r="AQ252" s="7"/>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6"/>
      <c r="AC253" s="6"/>
      <c r="AD253" s="6"/>
      <c r="AE253" s="6"/>
      <c r="AF253" s="6"/>
      <c r="AG253" s="6"/>
      <c r="AH253" s="6"/>
      <c r="AI253" s="6"/>
      <c r="AJ253" s="6"/>
      <c r="AK253" s="6"/>
      <c r="AL253" s="6"/>
      <c r="AM253" s="6"/>
      <c r="AN253" s="6"/>
      <c r="AO253" s="6"/>
      <c r="AP253" s="6"/>
      <c r="AQ253" s="7"/>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6"/>
      <c r="AC254" s="6"/>
      <c r="AD254" s="6"/>
      <c r="AE254" s="6"/>
      <c r="AF254" s="6"/>
      <c r="AG254" s="6"/>
      <c r="AH254" s="6"/>
      <c r="AI254" s="6"/>
      <c r="AJ254" s="6"/>
      <c r="AK254" s="6"/>
      <c r="AL254" s="6"/>
      <c r="AM254" s="6"/>
      <c r="AN254" s="6"/>
      <c r="AO254" s="6"/>
      <c r="AP254" s="6"/>
      <c r="AQ254" s="7"/>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6"/>
      <c r="AC255" s="6"/>
      <c r="AD255" s="6"/>
      <c r="AE255" s="6"/>
      <c r="AF255" s="6"/>
      <c r="AG255" s="6"/>
      <c r="AH255" s="6"/>
      <c r="AI255" s="6"/>
      <c r="AJ255" s="6"/>
      <c r="AK255" s="6"/>
      <c r="AL255" s="6"/>
      <c r="AM255" s="6"/>
      <c r="AN255" s="6"/>
      <c r="AO255" s="6"/>
      <c r="AP255" s="6"/>
      <c r="AQ255" s="7"/>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6"/>
      <c r="AC256" s="6"/>
      <c r="AD256" s="6"/>
      <c r="AE256" s="6"/>
      <c r="AF256" s="6"/>
      <c r="AG256" s="6"/>
      <c r="AH256" s="6"/>
      <c r="AI256" s="6"/>
      <c r="AJ256" s="6"/>
      <c r="AK256" s="6"/>
      <c r="AL256" s="6"/>
      <c r="AM256" s="6"/>
      <c r="AN256" s="6"/>
      <c r="AO256" s="6"/>
      <c r="AP256" s="6"/>
      <c r="AQ256" s="7"/>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6"/>
      <c r="AC257" s="6"/>
      <c r="AD257" s="6"/>
      <c r="AE257" s="6"/>
      <c r="AF257" s="6"/>
      <c r="AG257" s="6"/>
      <c r="AH257" s="6"/>
      <c r="AI257" s="6"/>
      <c r="AJ257" s="6"/>
      <c r="AK257" s="6"/>
      <c r="AL257" s="6"/>
      <c r="AM257" s="6"/>
      <c r="AN257" s="6"/>
      <c r="AO257" s="6"/>
      <c r="AP257" s="6"/>
      <c r="AQ257" s="7"/>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6"/>
      <c r="AC258" s="6"/>
      <c r="AD258" s="6"/>
      <c r="AE258" s="6"/>
      <c r="AF258" s="6"/>
      <c r="AG258" s="6"/>
      <c r="AH258" s="6"/>
      <c r="AI258" s="6"/>
      <c r="AJ258" s="6"/>
      <c r="AK258" s="6"/>
      <c r="AL258" s="6"/>
      <c r="AM258" s="6"/>
      <c r="AN258" s="6"/>
      <c r="AO258" s="6"/>
      <c r="AP258" s="6"/>
      <c r="AQ258" s="7"/>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6"/>
      <c r="AC259" s="6"/>
      <c r="AD259" s="6"/>
      <c r="AE259" s="6"/>
      <c r="AF259" s="6"/>
      <c r="AG259" s="6"/>
      <c r="AH259" s="6"/>
      <c r="AI259" s="6"/>
      <c r="AJ259" s="6"/>
      <c r="AK259" s="6"/>
      <c r="AL259" s="6"/>
      <c r="AM259" s="6"/>
      <c r="AN259" s="6"/>
      <c r="AO259" s="6"/>
      <c r="AP259" s="6"/>
      <c r="AQ259" s="7"/>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6"/>
      <c r="AC260" s="6"/>
      <c r="AD260" s="6"/>
      <c r="AE260" s="6"/>
      <c r="AF260" s="6"/>
      <c r="AG260" s="6"/>
      <c r="AH260" s="6"/>
      <c r="AI260" s="6"/>
      <c r="AJ260" s="6"/>
      <c r="AK260" s="6"/>
      <c r="AL260" s="6"/>
      <c r="AM260" s="6"/>
      <c r="AN260" s="6"/>
      <c r="AO260" s="6"/>
      <c r="AP260" s="6"/>
      <c r="AQ260" s="7"/>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6"/>
      <c r="AC261" s="6"/>
      <c r="AD261" s="6"/>
      <c r="AE261" s="6"/>
      <c r="AF261" s="6"/>
      <c r="AG261" s="6"/>
      <c r="AH261" s="6"/>
      <c r="AI261" s="6"/>
      <c r="AJ261" s="6"/>
      <c r="AK261" s="6"/>
      <c r="AL261" s="6"/>
      <c r="AM261" s="6"/>
      <c r="AN261" s="6"/>
      <c r="AO261" s="6"/>
      <c r="AP261" s="6"/>
      <c r="AQ261" s="7"/>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6"/>
      <c r="AC262" s="6"/>
      <c r="AD262" s="6"/>
      <c r="AE262" s="6"/>
      <c r="AF262" s="6"/>
      <c r="AG262" s="6"/>
      <c r="AH262" s="6"/>
      <c r="AI262" s="6"/>
      <c r="AJ262" s="6"/>
      <c r="AK262" s="6"/>
      <c r="AL262" s="6"/>
      <c r="AM262" s="6"/>
      <c r="AN262" s="6"/>
      <c r="AO262" s="6"/>
      <c r="AP262" s="6"/>
      <c r="AQ262" s="7"/>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6"/>
      <c r="AC263" s="6"/>
      <c r="AD263" s="6"/>
      <c r="AE263" s="6"/>
      <c r="AF263" s="6"/>
      <c r="AG263" s="6"/>
      <c r="AH263" s="6"/>
      <c r="AI263" s="6"/>
      <c r="AJ263" s="6"/>
      <c r="AK263" s="6"/>
      <c r="AL263" s="6"/>
      <c r="AM263" s="6"/>
      <c r="AN263" s="6"/>
      <c r="AO263" s="6"/>
      <c r="AP263" s="6"/>
      <c r="AQ263" s="7"/>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6"/>
      <c r="AC264" s="6"/>
      <c r="AD264" s="6"/>
      <c r="AE264" s="6"/>
      <c r="AF264" s="6"/>
      <c r="AG264" s="6"/>
      <c r="AH264" s="6"/>
      <c r="AI264" s="6"/>
      <c r="AJ264" s="6"/>
      <c r="AK264" s="6"/>
      <c r="AL264" s="6"/>
      <c r="AM264" s="6"/>
      <c r="AN264" s="6"/>
      <c r="AO264" s="6"/>
      <c r="AP264" s="6"/>
      <c r="AQ264" s="7"/>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6"/>
      <c r="AC265" s="6"/>
      <c r="AD265" s="6"/>
      <c r="AE265" s="6"/>
      <c r="AF265" s="6"/>
      <c r="AG265" s="6"/>
      <c r="AH265" s="6"/>
      <c r="AI265" s="6"/>
      <c r="AJ265" s="6"/>
      <c r="AK265" s="6"/>
      <c r="AL265" s="6"/>
      <c r="AM265" s="6"/>
      <c r="AN265" s="6"/>
      <c r="AO265" s="6"/>
      <c r="AP265" s="6"/>
      <c r="AQ265" s="7"/>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6"/>
      <c r="AC266" s="6"/>
      <c r="AD266" s="6"/>
      <c r="AE266" s="6"/>
      <c r="AF266" s="6"/>
      <c r="AG266" s="6"/>
      <c r="AH266" s="6"/>
      <c r="AI266" s="6"/>
      <c r="AJ266" s="6"/>
      <c r="AK266" s="6"/>
      <c r="AL266" s="6"/>
      <c r="AM266" s="6"/>
      <c r="AN266" s="6"/>
      <c r="AO266" s="6"/>
      <c r="AP266" s="6"/>
      <c r="AQ266" s="7"/>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6"/>
      <c r="AC267" s="6"/>
      <c r="AD267" s="6"/>
      <c r="AE267" s="6"/>
      <c r="AF267" s="6"/>
      <c r="AG267" s="6"/>
      <c r="AH267" s="6"/>
      <c r="AI267" s="6"/>
      <c r="AJ267" s="6"/>
      <c r="AK267" s="6"/>
      <c r="AL267" s="6"/>
      <c r="AM267" s="6"/>
      <c r="AN267" s="6"/>
      <c r="AO267" s="6"/>
      <c r="AP267" s="6"/>
      <c r="AQ267" s="7"/>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6"/>
      <c r="AC268" s="6"/>
      <c r="AD268" s="6"/>
      <c r="AE268" s="6"/>
      <c r="AF268" s="6"/>
      <c r="AG268" s="6"/>
      <c r="AH268" s="6"/>
      <c r="AI268" s="6"/>
      <c r="AJ268" s="6"/>
      <c r="AK268" s="6"/>
      <c r="AL268" s="6"/>
      <c r="AM268" s="6"/>
      <c r="AN268" s="6"/>
      <c r="AO268" s="6"/>
      <c r="AP268" s="6"/>
      <c r="AQ268" s="7"/>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6"/>
      <c r="AC269" s="6"/>
      <c r="AD269" s="6"/>
      <c r="AE269" s="6"/>
      <c r="AF269" s="6"/>
      <c r="AG269" s="6"/>
      <c r="AH269" s="6"/>
      <c r="AI269" s="6"/>
      <c r="AJ269" s="6"/>
      <c r="AK269" s="6"/>
      <c r="AL269" s="6"/>
      <c r="AM269" s="6"/>
      <c r="AN269" s="6"/>
      <c r="AO269" s="6"/>
      <c r="AP269" s="6"/>
      <c r="AQ269" s="7"/>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6"/>
      <c r="AC270" s="6"/>
      <c r="AD270" s="6"/>
      <c r="AE270" s="6"/>
      <c r="AF270" s="6"/>
      <c r="AG270" s="6"/>
      <c r="AH270" s="6"/>
      <c r="AI270" s="6"/>
      <c r="AJ270" s="6"/>
      <c r="AK270" s="6"/>
      <c r="AL270" s="6"/>
      <c r="AM270" s="6"/>
      <c r="AN270" s="6"/>
      <c r="AO270" s="6"/>
      <c r="AP270" s="6"/>
      <c r="AQ270" s="7"/>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6"/>
      <c r="AC271" s="6"/>
      <c r="AD271" s="6"/>
      <c r="AE271" s="6"/>
      <c r="AF271" s="6"/>
      <c r="AG271" s="6"/>
      <c r="AH271" s="6"/>
      <c r="AI271" s="6"/>
      <c r="AJ271" s="6"/>
      <c r="AK271" s="6"/>
      <c r="AL271" s="6"/>
      <c r="AM271" s="6"/>
      <c r="AN271" s="6"/>
      <c r="AO271" s="6"/>
      <c r="AP271" s="6"/>
      <c r="AQ271" s="7"/>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6"/>
      <c r="AC272" s="6"/>
      <c r="AD272" s="6"/>
      <c r="AE272" s="6"/>
      <c r="AF272" s="6"/>
      <c r="AG272" s="6"/>
      <c r="AH272" s="6"/>
      <c r="AI272" s="6"/>
      <c r="AJ272" s="6"/>
      <c r="AK272" s="6"/>
      <c r="AL272" s="6"/>
      <c r="AM272" s="6"/>
      <c r="AN272" s="6"/>
      <c r="AO272" s="6"/>
      <c r="AP272" s="6"/>
      <c r="AQ272" s="7"/>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6"/>
      <c r="AC273" s="6"/>
      <c r="AD273" s="6"/>
      <c r="AE273" s="6"/>
      <c r="AF273" s="6"/>
      <c r="AG273" s="6"/>
      <c r="AH273" s="6"/>
      <c r="AI273" s="6"/>
      <c r="AJ273" s="6"/>
      <c r="AK273" s="6"/>
      <c r="AL273" s="6"/>
      <c r="AM273" s="6"/>
      <c r="AN273" s="6"/>
      <c r="AO273" s="6"/>
      <c r="AP273" s="6"/>
      <c r="AQ273" s="7"/>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6"/>
      <c r="AC274" s="6"/>
      <c r="AD274" s="6"/>
      <c r="AE274" s="6"/>
      <c r="AF274" s="6"/>
      <c r="AG274" s="6"/>
      <c r="AH274" s="6"/>
      <c r="AI274" s="6"/>
      <c r="AJ274" s="6"/>
      <c r="AK274" s="6"/>
      <c r="AL274" s="6"/>
      <c r="AM274" s="6"/>
      <c r="AN274" s="6"/>
      <c r="AO274" s="6"/>
      <c r="AP274" s="6"/>
      <c r="AQ274" s="7"/>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6"/>
      <c r="AC275" s="6"/>
      <c r="AD275" s="6"/>
      <c r="AE275" s="6"/>
      <c r="AF275" s="6"/>
      <c r="AG275" s="6"/>
      <c r="AH275" s="6"/>
      <c r="AI275" s="6"/>
      <c r="AJ275" s="6"/>
      <c r="AK275" s="6"/>
      <c r="AL275" s="6"/>
      <c r="AM275" s="6"/>
      <c r="AN275" s="6"/>
      <c r="AO275" s="6"/>
      <c r="AP275" s="6"/>
      <c r="AQ275" s="7"/>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6"/>
      <c r="AC276" s="6"/>
      <c r="AD276" s="6"/>
      <c r="AE276" s="6"/>
      <c r="AF276" s="6"/>
      <c r="AG276" s="6"/>
      <c r="AH276" s="6"/>
      <c r="AI276" s="6"/>
      <c r="AJ276" s="6"/>
      <c r="AK276" s="6"/>
      <c r="AL276" s="6"/>
      <c r="AM276" s="6"/>
      <c r="AN276" s="6"/>
      <c r="AO276" s="6"/>
      <c r="AP276" s="6"/>
      <c r="AQ276" s="7"/>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6"/>
      <c r="AC277" s="6"/>
      <c r="AD277" s="6"/>
      <c r="AE277" s="6"/>
      <c r="AF277" s="6"/>
      <c r="AG277" s="6"/>
      <c r="AH277" s="6"/>
      <c r="AI277" s="6"/>
      <c r="AJ277" s="6"/>
      <c r="AK277" s="6"/>
      <c r="AL277" s="6"/>
      <c r="AM277" s="6"/>
      <c r="AN277" s="6"/>
      <c r="AO277" s="6"/>
      <c r="AP277" s="6"/>
      <c r="AQ277" s="7"/>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6"/>
      <c r="AC278" s="6"/>
      <c r="AD278" s="6"/>
      <c r="AE278" s="6"/>
      <c r="AF278" s="6"/>
      <c r="AG278" s="6"/>
      <c r="AH278" s="6"/>
      <c r="AI278" s="6"/>
      <c r="AJ278" s="6"/>
      <c r="AK278" s="6"/>
      <c r="AL278" s="6"/>
      <c r="AM278" s="6"/>
      <c r="AN278" s="6"/>
      <c r="AO278" s="6"/>
      <c r="AP278" s="6"/>
      <c r="AQ278" s="7"/>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6"/>
      <c r="AC279" s="6"/>
      <c r="AD279" s="6"/>
      <c r="AE279" s="6"/>
      <c r="AF279" s="6"/>
      <c r="AG279" s="6"/>
      <c r="AH279" s="6"/>
      <c r="AI279" s="6"/>
      <c r="AJ279" s="6"/>
      <c r="AK279" s="6"/>
      <c r="AL279" s="6"/>
      <c r="AM279" s="6"/>
      <c r="AN279" s="6"/>
      <c r="AO279" s="6"/>
      <c r="AP279" s="6"/>
      <c r="AQ279" s="7"/>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6"/>
      <c r="AC280" s="6"/>
      <c r="AD280" s="6"/>
      <c r="AE280" s="6"/>
      <c r="AF280" s="6"/>
      <c r="AG280" s="6"/>
      <c r="AH280" s="6"/>
      <c r="AI280" s="6"/>
      <c r="AJ280" s="6"/>
      <c r="AK280" s="6"/>
      <c r="AL280" s="6"/>
      <c r="AM280" s="6"/>
      <c r="AN280" s="6"/>
      <c r="AO280" s="6"/>
      <c r="AP280" s="6"/>
      <c r="AQ280" s="7"/>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6"/>
      <c r="AC281" s="6"/>
      <c r="AD281" s="6"/>
      <c r="AE281" s="6"/>
      <c r="AF281" s="6"/>
      <c r="AG281" s="6"/>
      <c r="AH281" s="6"/>
      <c r="AI281" s="6"/>
      <c r="AJ281" s="6"/>
      <c r="AK281" s="6"/>
      <c r="AL281" s="6"/>
      <c r="AM281" s="6"/>
      <c r="AN281" s="6"/>
      <c r="AO281" s="6"/>
      <c r="AP281" s="6"/>
      <c r="AQ281" s="7"/>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6"/>
      <c r="AC282" s="6"/>
      <c r="AD282" s="6"/>
      <c r="AE282" s="6"/>
      <c r="AF282" s="6"/>
      <c r="AG282" s="6"/>
      <c r="AH282" s="6"/>
      <c r="AI282" s="6"/>
      <c r="AJ282" s="6"/>
      <c r="AK282" s="6"/>
      <c r="AL282" s="6"/>
      <c r="AM282" s="6"/>
      <c r="AN282" s="6"/>
      <c r="AO282" s="6"/>
      <c r="AP282" s="6"/>
      <c r="AQ282" s="7"/>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6"/>
      <c r="AC283" s="6"/>
      <c r="AD283" s="6"/>
      <c r="AE283" s="6"/>
      <c r="AF283" s="6"/>
      <c r="AG283" s="6"/>
      <c r="AH283" s="6"/>
      <c r="AI283" s="6"/>
      <c r="AJ283" s="6"/>
      <c r="AK283" s="6"/>
      <c r="AL283" s="6"/>
      <c r="AM283" s="6"/>
      <c r="AN283" s="6"/>
      <c r="AO283" s="6"/>
      <c r="AP283" s="6"/>
      <c r="AQ283" s="7"/>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6"/>
      <c r="AC284" s="6"/>
      <c r="AD284" s="6"/>
      <c r="AE284" s="6"/>
      <c r="AF284" s="6"/>
      <c r="AG284" s="6"/>
      <c r="AH284" s="6"/>
      <c r="AI284" s="6"/>
      <c r="AJ284" s="6"/>
      <c r="AK284" s="6"/>
      <c r="AL284" s="6"/>
      <c r="AM284" s="6"/>
      <c r="AN284" s="6"/>
      <c r="AO284" s="6"/>
      <c r="AP284" s="6"/>
      <c r="AQ284" s="7"/>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6"/>
      <c r="AC285" s="6"/>
      <c r="AD285" s="6"/>
      <c r="AE285" s="6"/>
      <c r="AF285" s="6"/>
      <c r="AG285" s="6"/>
      <c r="AH285" s="6"/>
      <c r="AI285" s="6"/>
      <c r="AJ285" s="6"/>
      <c r="AK285" s="6"/>
      <c r="AL285" s="6"/>
      <c r="AM285" s="6"/>
      <c r="AN285" s="6"/>
      <c r="AO285" s="6"/>
      <c r="AP285" s="6"/>
      <c r="AQ285" s="7"/>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6"/>
      <c r="AC286" s="6"/>
      <c r="AD286" s="6"/>
      <c r="AE286" s="6"/>
      <c r="AF286" s="6"/>
      <c r="AG286" s="6"/>
      <c r="AH286" s="6"/>
      <c r="AI286" s="6"/>
      <c r="AJ286" s="6"/>
      <c r="AK286" s="6"/>
      <c r="AL286" s="6"/>
      <c r="AM286" s="6"/>
      <c r="AN286" s="6"/>
      <c r="AO286" s="6"/>
      <c r="AP286" s="6"/>
      <c r="AQ286" s="7"/>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6"/>
      <c r="AC287" s="6"/>
      <c r="AD287" s="6"/>
      <c r="AE287" s="6"/>
      <c r="AF287" s="6"/>
      <c r="AG287" s="6"/>
      <c r="AH287" s="6"/>
      <c r="AI287" s="6"/>
      <c r="AJ287" s="6"/>
      <c r="AK287" s="6"/>
      <c r="AL287" s="6"/>
      <c r="AM287" s="6"/>
      <c r="AN287" s="6"/>
      <c r="AO287" s="6"/>
      <c r="AP287" s="6"/>
      <c r="AQ287" s="7"/>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6"/>
      <c r="AC288" s="6"/>
      <c r="AD288" s="6"/>
      <c r="AE288" s="6"/>
      <c r="AF288" s="6"/>
      <c r="AG288" s="6"/>
      <c r="AH288" s="6"/>
      <c r="AI288" s="6"/>
      <c r="AJ288" s="6"/>
      <c r="AK288" s="6"/>
      <c r="AL288" s="6"/>
      <c r="AM288" s="6"/>
      <c r="AN288" s="6"/>
      <c r="AO288" s="6"/>
      <c r="AP288" s="6"/>
      <c r="AQ288" s="7"/>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6"/>
      <c r="AC289" s="6"/>
      <c r="AD289" s="6"/>
      <c r="AE289" s="6"/>
      <c r="AF289" s="6"/>
      <c r="AG289" s="6"/>
      <c r="AH289" s="6"/>
      <c r="AI289" s="6"/>
      <c r="AJ289" s="6"/>
      <c r="AK289" s="6"/>
      <c r="AL289" s="6"/>
      <c r="AM289" s="6"/>
      <c r="AN289" s="6"/>
      <c r="AO289" s="6"/>
      <c r="AP289" s="6"/>
      <c r="AQ289" s="7"/>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6"/>
      <c r="AC290" s="6"/>
      <c r="AD290" s="6"/>
      <c r="AE290" s="6"/>
      <c r="AF290" s="6"/>
      <c r="AG290" s="6"/>
      <c r="AH290" s="6"/>
      <c r="AI290" s="6"/>
      <c r="AJ290" s="6"/>
      <c r="AK290" s="6"/>
      <c r="AL290" s="6"/>
      <c r="AM290" s="6"/>
      <c r="AN290" s="6"/>
      <c r="AO290" s="6"/>
      <c r="AP290" s="6"/>
      <c r="AQ290" s="7"/>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6"/>
      <c r="AC291" s="6"/>
      <c r="AD291" s="6"/>
      <c r="AE291" s="6"/>
      <c r="AF291" s="6"/>
      <c r="AG291" s="6"/>
      <c r="AH291" s="6"/>
      <c r="AI291" s="6"/>
      <c r="AJ291" s="6"/>
      <c r="AK291" s="6"/>
      <c r="AL291" s="6"/>
      <c r="AM291" s="6"/>
      <c r="AN291" s="6"/>
      <c r="AO291" s="6"/>
      <c r="AP291" s="6"/>
      <c r="AQ291" s="7"/>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6"/>
      <c r="AC292" s="6"/>
      <c r="AD292" s="6"/>
      <c r="AE292" s="6"/>
      <c r="AF292" s="6"/>
      <c r="AG292" s="6"/>
      <c r="AH292" s="6"/>
      <c r="AI292" s="6"/>
      <c r="AJ292" s="6"/>
      <c r="AK292" s="6"/>
      <c r="AL292" s="6"/>
      <c r="AM292" s="6"/>
      <c r="AN292" s="6"/>
      <c r="AO292" s="6"/>
      <c r="AP292" s="6"/>
      <c r="AQ292" s="7"/>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6"/>
      <c r="AC293" s="6"/>
      <c r="AD293" s="6"/>
      <c r="AE293" s="6"/>
      <c r="AF293" s="6"/>
      <c r="AG293" s="6"/>
      <c r="AH293" s="6"/>
      <c r="AI293" s="6"/>
      <c r="AJ293" s="6"/>
      <c r="AK293" s="6"/>
      <c r="AL293" s="6"/>
      <c r="AM293" s="6"/>
      <c r="AN293" s="6"/>
      <c r="AO293" s="6"/>
      <c r="AP293" s="6"/>
      <c r="AQ293" s="7"/>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6"/>
      <c r="AC294" s="6"/>
      <c r="AD294" s="6"/>
      <c r="AE294" s="6"/>
      <c r="AF294" s="6"/>
      <c r="AG294" s="6"/>
      <c r="AH294" s="6"/>
      <c r="AI294" s="6"/>
      <c r="AJ294" s="6"/>
      <c r="AK294" s="6"/>
      <c r="AL294" s="6"/>
      <c r="AM294" s="6"/>
      <c r="AN294" s="6"/>
      <c r="AO294" s="6"/>
      <c r="AP294" s="6"/>
      <c r="AQ294" s="7"/>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6"/>
      <c r="AC295" s="6"/>
      <c r="AD295" s="6"/>
      <c r="AE295" s="6"/>
      <c r="AF295" s="6"/>
      <c r="AG295" s="6"/>
      <c r="AH295" s="6"/>
      <c r="AI295" s="6"/>
      <c r="AJ295" s="6"/>
      <c r="AK295" s="6"/>
      <c r="AL295" s="6"/>
      <c r="AM295" s="6"/>
      <c r="AN295" s="6"/>
      <c r="AO295" s="6"/>
      <c r="AP295" s="6"/>
      <c r="AQ295" s="7"/>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6"/>
      <c r="AC296" s="6"/>
      <c r="AD296" s="6"/>
      <c r="AE296" s="6"/>
      <c r="AF296" s="6"/>
      <c r="AG296" s="6"/>
      <c r="AH296" s="6"/>
      <c r="AI296" s="6"/>
      <c r="AJ296" s="6"/>
      <c r="AK296" s="6"/>
      <c r="AL296" s="6"/>
      <c r="AM296" s="6"/>
      <c r="AN296" s="6"/>
      <c r="AO296" s="6"/>
      <c r="AP296" s="6"/>
      <c r="AQ296" s="7"/>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6"/>
      <c r="AC297" s="6"/>
      <c r="AD297" s="6"/>
      <c r="AE297" s="6"/>
      <c r="AF297" s="6"/>
      <c r="AG297" s="6"/>
      <c r="AH297" s="6"/>
      <c r="AI297" s="6"/>
      <c r="AJ297" s="6"/>
      <c r="AK297" s="6"/>
      <c r="AL297" s="6"/>
      <c r="AM297" s="6"/>
      <c r="AN297" s="6"/>
      <c r="AO297" s="6"/>
      <c r="AP297" s="6"/>
      <c r="AQ297" s="7"/>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6"/>
      <c r="AC298" s="6"/>
      <c r="AD298" s="6"/>
      <c r="AE298" s="6"/>
      <c r="AF298" s="6"/>
      <c r="AG298" s="6"/>
      <c r="AH298" s="6"/>
      <c r="AI298" s="6"/>
      <c r="AJ298" s="6"/>
      <c r="AK298" s="6"/>
      <c r="AL298" s="6"/>
      <c r="AM298" s="6"/>
      <c r="AN298" s="6"/>
      <c r="AO298" s="6"/>
      <c r="AP298" s="6"/>
      <c r="AQ298" s="7"/>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6"/>
      <c r="AC299" s="6"/>
      <c r="AD299" s="6"/>
      <c r="AE299" s="6"/>
      <c r="AF299" s="6"/>
      <c r="AG299" s="6"/>
      <c r="AH299" s="6"/>
      <c r="AI299" s="6"/>
      <c r="AJ299" s="6"/>
      <c r="AK299" s="6"/>
      <c r="AL299" s="6"/>
      <c r="AM299" s="6"/>
      <c r="AN299" s="6"/>
      <c r="AO299" s="6"/>
      <c r="AP299" s="6"/>
      <c r="AQ299" s="7"/>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6"/>
      <c r="AC300" s="6"/>
      <c r="AD300" s="6"/>
      <c r="AE300" s="6"/>
      <c r="AF300" s="6"/>
      <c r="AG300" s="6"/>
      <c r="AH300" s="6"/>
      <c r="AI300" s="6"/>
      <c r="AJ300" s="6"/>
      <c r="AK300" s="6"/>
      <c r="AL300" s="6"/>
      <c r="AM300" s="6"/>
      <c r="AN300" s="6"/>
      <c r="AO300" s="6"/>
      <c r="AP300" s="6"/>
      <c r="AQ300" s="7"/>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6"/>
      <c r="AC301" s="6"/>
      <c r="AD301" s="6"/>
      <c r="AE301" s="6"/>
      <c r="AF301" s="6"/>
      <c r="AG301" s="6"/>
      <c r="AH301" s="6"/>
      <c r="AI301" s="6"/>
      <c r="AJ301" s="6"/>
      <c r="AK301" s="6"/>
      <c r="AL301" s="6"/>
      <c r="AM301" s="6"/>
      <c r="AN301" s="6"/>
      <c r="AO301" s="6"/>
      <c r="AP301" s="6"/>
      <c r="AQ301" s="7"/>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6"/>
      <c r="AC302" s="6"/>
      <c r="AD302" s="6"/>
      <c r="AE302" s="6"/>
      <c r="AF302" s="6"/>
      <c r="AG302" s="6"/>
      <c r="AH302" s="6"/>
      <c r="AI302" s="6"/>
      <c r="AJ302" s="6"/>
      <c r="AK302" s="6"/>
      <c r="AL302" s="6"/>
      <c r="AM302" s="6"/>
      <c r="AN302" s="6"/>
      <c r="AO302" s="6"/>
      <c r="AP302" s="6"/>
      <c r="AQ302" s="7"/>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6"/>
      <c r="AC303" s="6"/>
      <c r="AD303" s="6"/>
      <c r="AE303" s="6"/>
      <c r="AF303" s="6"/>
      <c r="AG303" s="6"/>
      <c r="AH303" s="6"/>
      <c r="AI303" s="6"/>
      <c r="AJ303" s="6"/>
      <c r="AK303" s="6"/>
      <c r="AL303" s="6"/>
      <c r="AM303" s="6"/>
      <c r="AN303" s="6"/>
      <c r="AO303" s="6"/>
      <c r="AP303" s="6"/>
      <c r="AQ303" s="7"/>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6"/>
      <c r="AC304" s="6"/>
      <c r="AD304" s="6"/>
      <c r="AE304" s="6"/>
      <c r="AF304" s="6"/>
      <c r="AG304" s="6"/>
      <c r="AH304" s="6"/>
      <c r="AI304" s="6"/>
      <c r="AJ304" s="6"/>
      <c r="AK304" s="6"/>
      <c r="AL304" s="6"/>
      <c r="AM304" s="6"/>
      <c r="AN304" s="6"/>
      <c r="AO304" s="6"/>
      <c r="AP304" s="6"/>
      <c r="AQ304" s="7"/>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6"/>
      <c r="AC305" s="6"/>
      <c r="AD305" s="6"/>
      <c r="AE305" s="6"/>
      <c r="AF305" s="6"/>
      <c r="AG305" s="6"/>
      <c r="AH305" s="6"/>
      <c r="AI305" s="6"/>
      <c r="AJ305" s="6"/>
      <c r="AK305" s="6"/>
      <c r="AL305" s="6"/>
      <c r="AM305" s="6"/>
      <c r="AN305" s="6"/>
      <c r="AO305" s="6"/>
      <c r="AP305" s="6"/>
      <c r="AQ305" s="7"/>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6"/>
      <c r="AC306" s="6"/>
      <c r="AD306" s="6"/>
      <c r="AE306" s="6"/>
      <c r="AF306" s="6"/>
      <c r="AG306" s="6"/>
      <c r="AH306" s="6"/>
      <c r="AI306" s="6"/>
      <c r="AJ306" s="6"/>
      <c r="AK306" s="6"/>
      <c r="AL306" s="6"/>
      <c r="AM306" s="6"/>
      <c r="AN306" s="6"/>
      <c r="AO306" s="6"/>
      <c r="AP306" s="6"/>
      <c r="AQ306" s="7"/>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6"/>
      <c r="AC307" s="6"/>
      <c r="AD307" s="6"/>
      <c r="AE307" s="6"/>
      <c r="AF307" s="6"/>
      <c r="AG307" s="6"/>
      <c r="AH307" s="6"/>
      <c r="AI307" s="6"/>
      <c r="AJ307" s="6"/>
      <c r="AK307" s="6"/>
      <c r="AL307" s="6"/>
      <c r="AM307" s="6"/>
      <c r="AN307" s="6"/>
      <c r="AO307" s="6"/>
      <c r="AP307" s="6"/>
      <c r="AQ307" s="7"/>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6"/>
      <c r="AC308" s="6"/>
      <c r="AD308" s="6"/>
      <c r="AE308" s="6"/>
      <c r="AF308" s="6"/>
      <c r="AG308" s="6"/>
      <c r="AH308" s="6"/>
      <c r="AI308" s="6"/>
      <c r="AJ308" s="6"/>
      <c r="AK308" s="6"/>
      <c r="AL308" s="6"/>
      <c r="AM308" s="6"/>
      <c r="AN308" s="6"/>
      <c r="AO308" s="6"/>
      <c r="AP308" s="6"/>
      <c r="AQ308" s="7"/>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6"/>
      <c r="AC309" s="6"/>
      <c r="AD309" s="6"/>
      <c r="AE309" s="6"/>
      <c r="AF309" s="6"/>
      <c r="AG309" s="6"/>
      <c r="AH309" s="6"/>
      <c r="AI309" s="6"/>
      <c r="AJ309" s="6"/>
      <c r="AK309" s="6"/>
      <c r="AL309" s="6"/>
      <c r="AM309" s="6"/>
      <c r="AN309" s="6"/>
      <c r="AO309" s="6"/>
      <c r="AP309" s="6"/>
      <c r="AQ309" s="7"/>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6"/>
      <c r="AC310" s="6"/>
      <c r="AD310" s="6"/>
      <c r="AE310" s="6"/>
      <c r="AF310" s="6"/>
      <c r="AG310" s="6"/>
      <c r="AH310" s="6"/>
      <c r="AI310" s="6"/>
      <c r="AJ310" s="6"/>
      <c r="AK310" s="6"/>
      <c r="AL310" s="6"/>
      <c r="AM310" s="6"/>
      <c r="AN310" s="6"/>
      <c r="AO310" s="6"/>
      <c r="AP310" s="6"/>
      <c r="AQ310" s="7"/>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6"/>
      <c r="AC311" s="6"/>
      <c r="AD311" s="6"/>
      <c r="AE311" s="6"/>
      <c r="AF311" s="6"/>
      <c r="AG311" s="6"/>
      <c r="AH311" s="6"/>
      <c r="AI311" s="6"/>
      <c r="AJ311" s="6"/>
      <c r="AK311" s="6"/>
      <c r="AL311" s="6"/>
      <c r="AM311" s="6"/>
      <c r="AN311" s="6"/>
      <c r="AO311" s="6"/>
      <c r="AP311" s="6"/>
      <c r="AQ311" s="7"/>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6"/>
      <c r="AC312" s="6"/>
      <c r="AD312" s="6"/>
      <c r="AE312" s="6"/>
      <c r="AF312" s="6"/>
      <c r="AG312" s="6"/>
      <c r="AH312" s="6"/>
      <c r="AI312" s="6"/>
      <c r="AJ312" s="6"/>
      <c r="AK312" s="6"/>
      <c r="AL312" s="6"/>
      <c r="AM312" s="6"/>
      <c r="AN312" s="6"/>
      <c r="AO312" s="6"/>
      <c r="AP312" s="6"/>
      <c r="AQ312" s="7"/>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6"/>
      <c r="AC313" s="6"/>
      <c r="AD313" s="6"/>
      <c r="AE313" s="6"/>
      <c r="AF313" s="6"/>
      <c r="AG313" s="6"/>
      <c r="AH313" s="6"/>
      <c r="AI313" s="6"/>
      <c r="AJ313" s="6"/>
      <c r="AK313" s="6"/>
      <c r="AL313" s="6"/>
      <c r="AM313" s="6"/>
      <c r="AN313" s="6"/>
      <c r="AO313" s="6"/>
      <c r="AP313" s="6"/>
      <c r="AQ313" s="7"/>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6"/>
      <c r="AC314" s="6"/>
      <c r="AD314" s="6"/>
      <c r="AE314" s="6"/>
      <c r="AF314" s="6"/>
      <c r="AG314" s="6"/>
      <c r="AH314" s="6"/>
      <c r="AI314" s="6"/>
      <c r="AJ314" s="6"/>
      <c r="AK314" s="6"/>
      <c r="AL314" s="6"/>
      <c r="AM314" s="6"/>
      <c r="AN314" s="6"/>
      <c r="AO314" s="6"/>
      <c r="AP314" s="6"/>
      <c r="AQ314" s="7"/>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6"/>
      <c r="AC315" s="6"/>
      <c r="AD315" s="6"/>
      <c r="AE315" s="6"/>
      <c r="AF315" s="6"/>
      <c r="AG315" s="6"/>
      <c r="AH315" s="6"/>
      <c r="AI315" s="6"/>
      <c r="AJ315" s="6"/>
      <c r="AK315" s="6"/>
      <c r="AL315" s="6"/>
      <c r="AM315" s="6"/>
      <c r="AN315" s="6"/>
      <c r="AO315" s="6"/>
      <c r="AP315" s="6"/>
      <c r="AQ315" s="7"/>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6"/>
      <c r="AC316" s="6"/>
      <c r="AD316" s="6"/>
      <c r="AE316" s="6"/>
      <c r="AF316" s="6"/>
      <c r="AG316" s="6"/>
      <c r="AH316" s="6"/>
      <c r="AI316" s="6"/>
      <c r="AJ316" s="6"/>
      <c r="AK316" s="6"/>
      <c r="AL316" s="6"/>
      <c r="AM316" s="6"/>
      <c r="AN316" s="6"/>
      <c r="AO316" s="6"/>
      <c r="AP316" s="6"/>
      <c r="AQ316" s="7"/>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6"/>
      <c r="AC317" s="6"/>
      <c r="AD317" s="6"/>
      <c r="AE317" s="6"/>
      <c r="AF317" s="6"/>
      <c r="AG317" s="6"/>
      <c r="AH317" s="6"/>
      <c r="AI317" s="6"/>
      <c r="AJ317" s="6"/>
      <c r="AK317" s="6"/>
      <c r="AL317" s="6"/>
      <c r="AM317" s="6"/>
      <c r="AN317" s="6"/>
      <c r="AO317" s="6"/>
      <c r="AP317" s="6"/>
      <c r="AQ317" s="7"/>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6"/>
      <c r="AC318" s="6"/>
      <c r="AD318" s="6"/>
      <c r="AE318" s="6"/>
      <c r="AF318" s="6"/>
      <c r="AG318" s="6"/>
      <c r="AH318" s="6"/>
      <c r="AI318" s="6"/>
      <c r="AJ318" s="6"/>
      <c r="AK318" s="6"/>
      <c r="AL318" s="6"/>
      <c r="AM318" s="6"/>
      <c r="AN318" s="6"/>
      <c r="AO318" s="6"/>
      <c r="AP318" s="6"/>
      <c r="AQ318" s="7"/>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6"/>
      <c r="AC319" s="6"/>
      <c r="AD319" s="6"/>
      <c r="AE319" s="6"/>
      <c r="AF319" s="6"/>
      <c r="AG319" s="6"/>
      <c r="AH319" s="6"/>
      <c r="AI319" s="6"/>
      <c r="AJ319" s="6"/>
      <c r="AK319" s="6"/>
      <c r="AL319" s="6"/>
      <c r="AM319" s="6"/>
      <c r="AN319" s="6"/>
      <c r="AO319" s="6"/>
      <c r="AP319" s="6"/>
      <c r="AQ319" s="7"/>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6"/>
      <c r="AC320" s="6"/>
      <c r="AD320" s="6"/>
      <c r="AE320" s="6"/>
      <c r="AF320" s="6"/>
      <c r="AG320" s="6"/>
      <c r="AH320" s="6"/>
      <c r="AI320" s="6"/>
      <c r="AJ320" s="6"/>
      <c r="AK320" s="6"/>
      <c r="AL320" s="6"/>
      <c r="AM320" s="6"/>
      <c r="AN320" s="6"/>
      <c r="AO320" s="6"/>
      <c r="AP320" s="6"/>
      <c r="AQ320" s="7"/>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6"/>
      <c r="AC321" s="6"/>
      <c r="AD321" s="6"/>
      <c r="AE321" s="6"/>
      <c r="AF321" s="6"/>
      <c r="AG321" s="6"/>
      <c r="AH321" s="6"/>
      <c r="AI321" s="6"/>
      <c r="AJ321" s="6"/>
      <c r="AK321" s="6"/>
      <c r="AL321" s="6"/>
      <c r="AM321" s="6"/>
      <c r="AN321" s="6"/>
      <c r="AO321" s="6"/>
      <c r="AP321" s="6"/>
      <c r="AQ321" s="7"/>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6"/>
      <c r="AC322" s="6"/>
      <c r="AD322" s="6"/>
      <c r="AE322" s="6"/>
      <c r="AF322" s="6"/>
      <c r="AG322" s="6"/>
      <c r="AH322" s="6"/>
      <c r="AI322" s="6"/>
      <c r="AJ322" s="6"/>
      <c r="AK322" s="6"/>
      <c r="AL322" s="6"/>
      <c r="AM322" s="6"/>
      <c r="AN322" s="6"/>
      <c r="AO322" s="6"/>
      <c r="AP322" s="6"/>
      <c r="AQ322" s="7"/>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6"/>
      <c r="AC323" s="6"/>
      <c r="AD323" s="6"/>
      <c r="AE323" s="6"/>
      <c r="AF323" s="6"/>
      <c r="AG323" s="6"/>
      <c r="AH323" s="6"/>
      <c r="AI323" s="6"/>
      <c r="AJ323" s="6"/>
      <c r="AK323" s="6"/>
      <c r="AL323" s="6"/>
      <c r="AM323" s="6"/>
      <c r="AN323" s="6"/>
      <c r="AO323" s="6"/>
      <c r="AP323" s="6"/>
      <c r="AQ323" s="7"/>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6"/>
      <c r="AC324" s="6"/>
      <c r="AD324" s="6"/>
      <c r="AE324" s="6"/>
      <c r="AF324" s="6"/>
      <c r="AG324" s="6"/>
      <c r="AH324" s="6"/>
      <c r="AI324" s="6"/>
      <c r="AJ324" s="6"/>
      <c r="AK324" s="6"/>
      <c r="AL324" s="6"/>
      <c r="AM324" s="6"/>
      <c r="AN324" s="6"/>
      <c r="AO324" s="6"/>
      <c r="AP324" s="6"/>
      <c r="AQ324" s="7"/>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6"/>
      <c r="AC325" s="6"/>
      <c r="AD325" s="6"/>
      <c r="AE325" s="6"/>
      <c r="AF325" s="6"/>
      <c r="AG325" s="6"/>
      <c r="AH325" s="6"/>
      <c r="AI325" s="6"/>
      <c r="AJ325" s="6"/>
      <c r="AK325" s="6"/>
      <c r="AL325" s="6"/>
      <c r="AM325" s="6"/>
      <c r="AN325" s="6"/>
      <c r="AO325" s="6"/>
      <c r="AP325" s="6"/>
      <c r="AQ325" s="7"/>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6"/>
      <c r="AC326" s="6"/>
      <c r="AD326" s="6"/>
      <c r="AE326" s="6"/>
      <c r="AF326" s="6"/>
      <c r="AG326" s="6"/>
      <c r="AH326" s="6"/>
      <c r="AI326" s="6"/>
      <c r="AJ326" s="6"/>
      <c r="AK326" s="6"/>
      <c r="AL326" s="6"/>
      <c r="AM326" s="6"/>
      <c r="AN326" s="6"/>
      <c r="AO326" s="6"/>
      <c r="AP326" s="6"/>
      <c r="AQ326" s="7"/>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6"/>
      <c r="AC327" s="6"/>
      <c r="AD327" s="6"/>
      <c r="AE327" s="6"/>
      <c r="AF327" s="6"/>
      <c r="AG327" s="6"/>
      <c r="AH327" s="6"/>
      <c r="AI327" s="6"/>
      <c r="AJ327" s="6"/>
      <c r="AK327" s="6"/>
      <c r="AL327" s="6"/>
      <c r="AM327" s="6"/>
      <c r="AN327" s="6"/>
      <c r="AO327" s="6"/>
      <c r="AP327" s="6"/>
      <c r="AQ327" s="7"/>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6"/>
      <c r="AC328" s="6"/>
      <c r="AD328" s="6"/>
      <c r="AE328" s="6"/>
      <c r="AF328" s="6"/>
      <c r="AG328" s="6"/>
      <c r="AH328" s="6"/>
      <c r="AI328" s="6"/>
      <c r="AJ328" s="6"/>
      <c r="AK328" s="6"/>
      <c r="AL328" s="6"/>
      <c r="AM328" s="6"/>
      <c r="AN328" s="6"/>
      <c r="AO328" s="6"/>
      <c r="AP328" s="6"/>
      <c r="AQ328" s="7"/>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6"/>
      <c r="AC329" s="6"/>
      <c r="AD329" s="6"/>
      <c r="AE329" s="6"/>
      <c r="AF329" s="6"/>
      <c r="AG329" s="6"/>
      <c r="AH329" s="6"/>
      <c r="AI329" s="6"/>
      <c r="AJ329" s="6"/>
      <c r="AK329" s="6"/>
      <c r="AL329" s="6"/>
      <c r="AM329" s="6"/>
      <c r="AN329" s="6"/>
      <c r="AO329" s="6"/>
      <c r="AP329" s="6"/>
      <c r="AQ329" s="7"/>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6"/>
      <c r="AC330" s="6"/>
      <c r="AD330" s="6"/>
      <c r="AE330" s="6"/>
      <c r="AF330" s="6"/>
      <c r="AG330" s="6"/>
      <c r="AH330" s="6"/>
      <c r="AI330" s="6"/>
      <c r="AJ330" s="6"/>
      <c r="AK330" s="6"/>
      <c r="AL330" s="6"/>
      <c r="AM330" s="6"/>
      <c r="AN330" s="6"/>
      <c r="AO330" s="6"/>
      <c r="AP330" s="6"/>
      <c r="AQ330" s="7"/>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6"/>
      <c r="AC331" s="6"/>
      <c r="AD331" s="6"/>
      <c r="AE331" s="6"/>
      <c r="AF331" s="6"/>
      <c r="AG331" s="6"/>
      <c r="AH331" s="6"/>
      <c r="AI331" s="6"/>
      <c r="AJ331" s="6"/>
      <c r="AK331" s="6"/>
      <c r="AL331" s="6"/>
      <c r="AM331" s="6"/>
      <c r="AN331" s="6"/>
      <c r="AO331" s="6"/>
      <c r="AP331" s="6"/>
      <c r="AQ331" s="7"/>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6"/>
      <c r="AC332" s="6"/>
      <c r="AD332" s="6"/>
      <c r="AE332" s="6"/>
      <c r="AF332" s="6"/>
      <c r="AG332" s="6"/>
      <c r="AH332" s="6"/>
      <c r="AI332" s="6"/>
      <c r="AJ332" s="6"/>
      <c r="AK332" s="6"/>
      <c r="AL332" s="6"/>
      <c r="AM332" s="6"/>
      <c r="AN332" s="6"/>
      <c r="AO332" s="6"/>
      <c r="AP332" s="6"/>
      <c r="AQ332" s="7"/>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6"/>
      <c r="AC333" s="6"/>
      <c r="AD333" s="6"/>
      <c r="AE333" s="6"/>
      <c r="AF333" s="6"/>
      <c r="AG333" s="6"/>
      <c r="AH333" s="6"/>
      <c r="AI333" s="6"/>
      <c r="AJ333" s="6"/>
      <c r="AK333" s="6"/>
      <c r="AL333" s="6"/>
      <c r="AM333" s="6"/>
      <c r="AN333" s="6"/>
      <c r="AO333" s="6"/>
      <c r="AP333" s="6"/>
      <c r="AQ333" s="7"/>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6"/>
      <c r="AC334" s="6"/>
      <c r="AD334" s="6"/>
      <c r="AE334" s="6"/>
      <c r="AF334" s="6"/>
      <c r="AG334" s="6"/>
      <c r="AH334" s="6"/>
      <c r="AI334" s="6"/>
      <c r="AJ334" s="6"/>
      <c r="AK334" s="6"/>
      <c r="AL334" s="6"/>
      <c r="AM334" s="6"/>
      <c r="AN334" s="6"/>
      <c r="AO334" s="6"/>
      <c r="AP334" s="6"/>
      <c r="AQ334" s="7"/>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6"/>
      <c r="AC335" s="6"/>
      <c r="AD335" s="6"/>
      <c r="AE335" s="6"/>
      <c r="AF335" s="6"/>
      <c r="AG335" s="6"/>
      <c r="AH335" s="6"/>
      <c r="AI335" s="6"/>
      <c r="AJ335" s="6"/>
      <c r="AK335" s="6"/>
      <c r="AL335" s="6"/>
      <c r="AM335" s="6"/>
      <c r="AN335" s="6"/>
      <c r="AO335" s="6"/>
      <c r="AP335" s="6"/>
      <c r="AQ335" s="7"/>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6"/>
      <c r="AC336" s="6"/>
      <c r="AD336" s="6"/>
      <c r="AE336" s="6"/>
      <c r="AF336" s="6"/>
      <c r="AG336" s="6"/>
      <c r="AH336" s="6"/>
      <c r="AI336" s="6"/>
      <c r="AJ336" s="6"/>
      <c r="AK336" s="6"/>
      <c r="AL336" s="6"/>
      <c r="AM336" s="6"/>
      <c r="AN336" s="6"/>
      <c r="AO336" s="6"/>
      <c r="AP336" s="6"/>
      <c r="AQ336" s="7"/>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6"/>
      <c r="AC337" s="6"/>
      <c r="AD337" s="6"/>
      <c r="AE337" s="6"/>
      <c r="AF337" s="6"/>
      <c r="AG337" s="6"/>
      <c r="AH337" s="6"/>
      <c r="AI337" s="6"/>
      <c r="AJ337" s="6"/>
      <c r="AK337" s="6"/>
      <c r="AL337" s="6"/>
      <c r="AM337" s="6"/>
      <c r="AN337" s="6"/>
      <c r="AO337" s="6"/>
      <c r="AP337" s="6"/>
      <c r="AQ337" s="7"/>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6"/>
      <c r="AC338" s="6"/>
      <c r="AD338" s="6"/>
      <c r="AE338" s="6"/>
      <c r="AF338" s="6"/>
      <c r="AG338" s="6"/>
      <c r="AH338" s="6"/>
      <c r="AI338" s="6"/>
      <c r="AJ338" s="6"/>
      <c r="AK338" s="6"/>
      <c r="AL338" s="6"/>
      <c r="AM338" s="6"/>
      <c r="AN338" s="6"/>
      <c r="AO338" s="6"/>
      <c r="AP338" s="6"/>
      <c r="AQ338" s="7"/>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6"/>
      <c r="AC339" s="6"/>
      <c r="AD339" s="6"/>
      <c r="AE339" s="6"/>
      <c r="AF339" s="6"/>
      <c r="AG339" s="6"/>
      <c r="AH339" s="6"/>
      <c r="AI339" s="6"/>
      <c r="AJ339" s="6"/>
      <c r="AK339" s="6"/>
      <c r="AL339" s="6"/>
      <c r="AM339" s="6"/>
      <c r="AN339" s="6"/>
      <c r="AO339" s="6"/>
      <c r="AP339" s="6"/>
      <c r="AQ339" s="7"/>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6"/>
      <c r="AC340" s="6"/>
      <c r="AD340" s="6"/>
      <c r="AE340" s="6"/>
      <c r="AF340" s="6"/>
      <c r="AG340" s="6"/>
      <c r="AH340" s="6"/>
      <c r="AI340" s="6"/>
      <c r="AJ340" s="6"/>
      <c r="AK340" s="6"/>
      <c r="AL340" s="6"/>
      <c r="AM340" s="6"/>
      <c r="AN340" s="6"/>
      <c r="AO340" s="6"/>
      <c r="AP340" s="6"/>
      <c r="AQ340" s="7"/>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6"/>
      <c r="AC341" s="6"/>
      <c r="AD341" s="6"/>
      <c r="AE341" s="6"/>
      <c r="AF341" s="6"/>
      <c r="AG341" s="6"/>
      <c r="AH341" s="6"/>
      <c r="AI341" s="6"/>
      <c r="AJ341" s="6"/>
      <c r="AK341" s="6"/>
      <c r="AL341" s="6"/>
      <c r="AM341" s="6"/>
      <c r="AN341" s="6"/>
      <c r="AO341" s="6"/>
      <c r="AP341" s="6"/>
      <c r="AQ341" s="7"/>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6"/>
      <c r="AC342" s="6"/>
      <c r="AD342" s="6"/>
      <c r="AE342" s="6"/>
      <c r="AF342" s="6"/>
      <c r="AG342" s="6"/>
      <c r="AH342" s="6"/>
      <c r="AI342" s="6"/>
      <c r="AJ342" s="6"/>
      <c r="AK342" s="6"/>
      <c r="AL342" s="6"/>
      <c r="AM342" s="6"/>
      <c r="AN342" s="6"/>
      <c r="AO342" s="6"/>
      <c r="AP342" s="6"/>
      <c r="AQ342" s="7"/>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6"/>
      <c r="AC343" s="6"/>
      <c r="AD343" s="6"/>
      <c r="AE343" s="6"/>
      <c r="AF343" s="6"/>
      <c r="AG343" s="6"/>
      <c r="AH343" s="6"/>
      <c r="AI343" s="6"/>
      <c r="AJ343" s="6"/>
      <c r="AK343" s="6"/>
      <c r="AL343" s="6"/>
      <c r="AM343" s="6"/>
      <c r="AN343" s="6"/>
      <c r="AO343" s="6"/>
      <c r="AP343" s="6"/>
      <c r="AQ343" s="7"/>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6"/>
      <c r="AC344" s="6"/>
      <c r="AD344" s="6"/>
      <c r="AE344" s="6"/>
      <c r="AF344" s="6"/>
      <c r="AG344" s="6"/>
      <c r="AH344" s="6"/>
      <c r="AI344" s="6"/>
      <c r="AJ344" s="6"/>
      <c r="AK344" s="6"/>
      <c r="AL344" s="6"/>
      <c r="AM344" s="6"/>
      <c r="AN344" s="6"/>
      <c r="AO344" s="6"/>
      <c r="AP344" s="6"/>
      <c r="AQ344" s="7"/>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6"/>
      <c r="AC345" s="6"/>
      <c r="AD345" s="6"/>
      <c r="AE345" s="6"/>
      <c r="AF345" s="6"/>
      <c r="AG345" s="6"/>
      <c r="AH345" s="6"/>
      <c r="AI345" s="6"/>
      <c r="AJ345" s="6"/>
      <c r="AK345" s="6"/>
      <c r="AL345" s="6"/>
      <c r="AM345" s="6"/>
      <c r="AN345" s="6"/>
      <c r="AO345" s="6"/>
      <c r="AP345" s="6"/>
      <c r="AQ345" s="7"/>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6"/>
      <c r="AC346" s="6"/>
      <c r="AD346" s="6"/>
      <c r="AE346" s="6"/>
      <c r="AF346" s="6"/>
      <c r="AG346" s="6"/>
      <c r="AH346" s="6"/>
      <c r="AI346" s="6"/>
      <c r="AJ346" s="6"/>
      <c r="AK346" s="6"/>
      <c r="AL346" s="6"/>
      <c r="AM346" s="6"/>
      <c r="AN346" s="6"/>
      <c r="AO346" s="6"/>
      <c r="AP346" s="6"/>
      <c r="AQ346" s="7"/>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6"/>
      <c r="AC347" s="6"/>
      <c r="AD347" s="6"/>
      <c r="AE347" s="6"/>
      <c r="AF347" s="6"/>
      <c r="AG347" s="6"/>
      <c r="AH347" s="6"/>
      <c r="AI347" s="6"/>
      <c r="AJ347" s="6"/>
      <c r="AK347" s="6"/>
      <c r="AL347" s="6"/>
      <c r="AM347" s="6"/>
      <c r="AN347" s="6"/>
      <c r="AO347" s="6"/>
      <c r="AP347" s="6"/>
      <c r="AQ347" s="7"/>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6"/>
      <c r="AC348" s="6"/>
      <c r="AD348" s="6"/>
      <c r="AE348" s="6"/>
      <c r="AF348" s="6"/>
      <c r="AG348" s="6"/>
      <c r="AH348" s="6"/>
      <c r="AI348" s="6"/>
      <c r="AJ348" s="6"/>
      <c r="AK348" s="6"/>
      <c r="AL348" s="6"/>
      <c r="AM348" s="6"/>
      <c r="AN348" s="6"/>
      <c r="AO348" s="6"/>
      <c r="AP348" s="6"/>
      <c r="AQ348" s="7"/>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6"/>
      <c r="AC349" s="6"/>
      <c r="AD349" s="6"/>
      <c r="AE349" s="6"/>
      <c r="AF349" s="6"/>
      <c r="AG349" s="6"/>
      <c r="AH349" s="6"/>
      <c r="AI349" s="6"/>
      <c r="AJ349" s="6"/>
      <c r="AK349" s="6"/>
      <c r="AL349" s="6"/>
      <c r="AM349" s="6"/>
      <c r="AN349" s="6"/>
      <c r="AO349" s="6"/>
      <c r="AP349" s="6"/>
      <c r="AQ349" s="7"/>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6"/>
      <c r="AC350" s="6"/>
      <c r="AD350" s="6"/>
      <c r="AE350" s="6"/>
      <c r="AF350" s="6"/>
      <c r="AG350" s="6"/>
      <c r="AH350" s="6"/>
      <c r="AI350" s="6"/>
      <c r="AJ350" s="6"/>
      <c r="AK350" s="6"/>
      <c r="AL350" s="6"/>
      <c r="AM350" s="6"/>
      <c r="AN350" s="6"/>
      <c r="AO350" s="6"/>
      <c r="AP350" s="6"/>
      <c r="AQ350" s="7"/>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6"/>
      <c r="AC351" s="6"/>
      <c r="AD351" s="6"/>
      <c r="AE351" s="6"/>
      <c r="AF351" s="6"/>
      <c r="AG351" s="6"/>
      <c r="AH351" s="6"/>
      <c r="AI351" s="6"/>
      <c r="AJ351" s="6"/>
      <c r="AK351" s="6"/>
      <c r="AL351" s="6"/>
      <c r="AM351" s="6"/>
      <c r="AN351" s="6"/>
      <c r="AO351" s="6"/>
      <c r="AP351" s="6"/>
      <c r="AQ351" s="7"/>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6"/>
      <c r="AC352" s="6"/>
      <c r="AD352" s="6"/>
      <c r="AE352" s="6"/>
      <c r="AF352" s="6"/>
      <c r="AG352" s="6"/>
      <c r="AH352" s="6"/>
      <c r="AI352" s="6"/>
      <c r="AJ352" s="6"/>
      <c r="AK352" s="6"/>
      <c r="AL352" s="6"/>
      <c r="AM352" s="6"/>
      <c r="AN352" s="6"/>
      <c r="AO352" s="6"/>
      <c r="AP352" s="6"/>
      <c r="AQ352" s="7"/>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6"/>
      <c r="AC353" s="6"/>
      <c r="AD353" s="6"/>
      <c r="AE353" s="6"/>
      <c r="AF353" s="6"/>
      <c r="AG353" s="6"/>
      <c r="AH353" s="6"/>
      <c r="AI353" s="6"/>
      <c r="AJ353" s="6"/>
      <c r="AK353" s="6"/>
      <c r="AL353" s="6"/>
      <c r="AM353" s="6"/>
      <c r="AN353" s="6"/>
      <c r="AO353" s="6"/>
      <c r="AP353" s="6"/>
      <c r="AQ353" s="7"/>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6"/>
      <c r="AC354" s="6"/>
      <c r="AD354" s="6"/>
      <c r="AE354" s="6"/>
      <c r="AF354" s="6"/>
      <c r="AG354" s="6"/>
      <c r="AH354" s="6"/>
      <c r="AI354" s="6"/>
      <c r="AJ354" s="6"/>
      <c r="AK354" s="6"/>
      <c r="AL354" s="6"/>
      <c r="AM354" s="6"/>
      <c r="AN354" s="6"/>
      <c r="AO354" s="6"/>
      <c r="AP354" s="6"/>
      <c r="AQ354" s="7"/>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6"/>
      <c r="AC355" s="6"/>
      <c r="AD355" s="6"/>
      <c r="AE355" s="6"/>
      <c r="AF355" s="6"/>
      <c r="AG355" s="6"/>
      <c r="AH355" s="6"/>
      <c r="AI355" s="6"/>
      <c r="AJ355" s="6"/>
      <c r="AK355" s="6"/>
      <c r="AL355" s="6"/>
      <c r="AM355" s="6"/>
      <c r="AN355" s="6"/>
      <c r="AO355" s="6"/>
      <c r="AP355" s="6"/>
      <c r="AQ355" s="7"/>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6"/>
      <c r="AC356" s="6"/>
      <c r="AD356" s="6"/>
      <c r="AE356" s="6"/>
      <c r="AF356" s="6"/>
      <c r="AG356" s="6"/>
      <c r="AH356" s="6"/>
      <c r="AI356" s="6"/>
      <c r="AJ356" s="6"/>
      <c r="AK356" s="6"/>
      <c r="AL356" s="6"/>
      <c r="AM356" s="6"/>
      <c r="AN356" s="6"/>
      <c r="AO356" s="6"/>
      <c r="AP356" s="6"/>
      <c r="AQ356" s="7"/>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6"/>
      <c r="AC357" s="6"/>
      <c r="AD357" s="6"/>
      <c r="AE357" s="6"/>
      <c r="AF357" s="6"/>
      <c r="AG357" s="6"/>
      <c r="AH357" s="6"/>
      <c r="AI357" s="6"/>
      <c r="AJ357" s="6"/>
      <c r="AK357" s="6"/>
      <c r="AL357" s="6"/>
      <c r="AM357" s="6"/>
      <c r="AN357" s="6"/>
      <c r="AO357" s="6"/>
      <c r="AP357" s="6"/>
      <c r="AQ357" s="7"/>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6"/>
      <c r="AC358" s="6"/>
      <c r="AD358" s="6"/>
      <c r="AE358" s="6"/>
      <c r="AF358" s="6"/>
      <c r="AG358" s="6"/>
      <c r="AH358" s="6"/>
      <c r="AI358" s="6"/>
      <c r="AJ358" s="6"/>
      <c r="AK358" s="6"/>
      <c r="AL358" s="6"/>
      <c r="AM358" s="6"/>
      <c r="AN358" s="6"/>
      <c r="AO358" s="6"/>
      <c r="AP358" s="6"/>
      <c r="AQ358" s="7"/>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6"/>
      <c r="AC359" s="6"/>
      <c r="AD359" s="6"/>
      <c r="AE359" s="6"/>
      <c r="AF359" s="6"/>
      <c r="AG359" s="6"/>
      <c r="AH359" s="6"/>
      <c r="AI359" s="6"/>
      <c r="AJ359" s="6"/>
      <c r="AK359" s="6"/>
      <c r="AL359" s="6"/>
      <c r="AM359" s="6"/>
      <c r="AN359" s="6"/>
      <c r="AO359" s="6"/>
      <c r="AP359" s="6"/>
      <c r="AQ359" s="7"/>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6"/>
      <c r="AC360" s="6"/>
      <c r="AD360" s="6"/>
      <c r="AE360" s="6"/>
      <c r="AF360" s="6"/>
      <c r="AG360" s="6"/>
      <c r="AH360" s="6"/>
      <c r="AI360" s="6"/>
      <c r="AJ360" s="6"/>
      <c r="AK360" s="6"/>
      <c r="AL360" s="6"/>
      <c r="AM360" s="6"/>
      <c r="AN360" s="6"/>
      <c r="AO360" s="6"/>
      <c r="AP360" s="6"/>
      <c r="AQ360" s="7"/>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6"/>
      <c r="AC361" s="6"/>
      <c r="AD361" s="6"/>
      <c r="AE361" s="6"/>
      <c r="AF361" s="6"/>
      <c r="AG361" s="6"/>
      <c r="AH361" s="6"/>
      <c r="AI361" s="6"/>
      <c r="AJ361" s="6"/>
      <c r="AK361" s="6"/>
      <c r="AL361" s="6"/>
      <c r="AM361" s="6"/>
      <c r="AN361" s="6"/>
      <c r="AO361" s="6"/>
      <c r="AP361" s="6"/>
      <c r="AQ361" s="7"/>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6"/>
      <c r="AC362" s="6"/>
      <c r="AD362" s="6"/>
      <c r="AE362" s="6"/>
      <c r="AF362" s="6"/>
      <c r="AG362" s="6"/>
      <c r="AH362" s="6"/>
      <c r="AI362" s="6"/>
      <c r="AJ362" s="6"/>
      <c r="AK362" s="6"/>
      <c r="AL362" s="6"/>
      <c r="AM362" s="6"/>
      <c r="AN362" s="6"/>
      <c r="AO362" s="6"/>
      <c r="AP362" s="6"/>
      <c r="AQ362" s="7"/>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6"/>
      <c r="AC363" s="6"/>
      <c r="AD363" s="6"/>
      <c r="AE363" s="6"/>
      <c r="AF363" s="6"/>
      <c r="AG363" s="6"/>
      <c r="AH363" s="6"/>
      <c r="AI363" s="6"/>
      <c r="AJ363" s="6"/>
      <c r="AK363" s="6"/>
      <c r="AL363" s="6"/>
      <c r="AM363" s="6"/>
      <c r="AN363" s="6"/>
      <c r="AO363" s="6"/>
      <c r="AP363" s="6"/>
      <c r="AQ363" s="7"/>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6"/>
      <c r="AC364" s="6"/>
      <c r="AD364" s="6"/>
      <c r="AE364" s="6"/>
      <c r="AF364" s="6"/>
      <c r="AG364" s="6"/>
      <c r="AH364" s="6"/>
      <c r="AI364" s="6"/>
      <c r="AJ364" s="6"/>
      <c r="AK364" s="6"/>
      <c r="AL364" s="6"/>
      <c r="AM364" s="6"/>
      <c r="AN364" s="6"/>
      <c r="AO364" s="6"/>
      <c r="AP364" s="6"/>
      <c r="AQ364" s="7"/>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6"/>
      <c r="AC365" s="6"/>
      <c r="AD365" s="6"/>
      <c r="AE365" s="6"/>
      <c r="AF365" s="6"/>
      <c r="AG365" s="6"/>
      <c r="AH365" s="6"/>
      <c r="AI365" s="6"/>
      <c r="AJ365" s="6"/>
      <c r="AK365" s="6"/>
      <c r="AL365" s="6"/>
      <c r="AM365" s="6"/>
      <c r="AN365" s="6"/>
      <c r="AO365" s="6"/>
      <c r="AP365" s="6"/>
      <c r="AQ365" s="7"/>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6"/>
      <c r="AC366" s="6"/>
      <c r="AD366" s="6"/>
      <c r="AE366" s="6"/>
      <c r="AF366" s="6"/>
      <c r="AG366" s="6"/>
      <c r="AH366" s="6"/>
      <c r="AI366" s="6"/>
      <c r="AJ366" s="6"/>
      <c r="AK366" s="6"/>
      <c r="AL366" s="6"/>
      <c r="AM366" s="6"/>
      <c r="AN366" s="6"/>
      <c r="AO366" s="6"/>
      <c r="AP366" s="6"/>
      <c r="AQ366" s="7"/>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6"/>
      <c r="AC367" s="6"/>
      <c r="AD367" s="6"/>
      <c r="AE367" s="6"/>
      <c r="AF367" s="6"/>
      <c r="AG367" s="6"/>
      <c r="AH367" s="6"/>
      <c r="AI367" s="6"/>
      <c r="AJ367" s="6"/>
      <c r="AK367" s="6"/>
      <c r="AL367" s="6"/>
      <c r="AM367" s="6"/>
      <c r="AN367" s="6"/>
      <c r="AO367" s="6"/>
      <c r="AP367" s="6"/>
      <c r="AQ367" s="7"/>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6"/>
      <c r="AC368" s="6"/>
      <c r="AD368" s="6"/>
      <c r="AE368" s="6"/>
      <c r="AF368" s="6"/>
      <c r="AG368" s="6"/>
      <c r="AH368" s="6"/>
      <c r="AI368" s="6"/>
      <c r="AJ368" s="6"/>
      <c r="AK368" s="6"/>
      <c r="AL368" s="6"/>
      <c r="AM368" s="6"/>
      <c r="AN368" s="6"/>
      <c r="AO368" s="6"/>
      <c r="AP368" s="6"/>
      <c r="AQ368" s="7"/>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6"/>
      <c r="AC369" s="6"/>
      <c r="AD369" s="6"/>
      <c r="AE369" s="6"/>
      <c r="AF369" s="6"/>
      <c r="AG369" s="6"/>
      <c r="AH369" s="6"/>
      <c r="AI369" s="6"/>
      <c r="AJ369" s="6"/>
      <c r="AK369" s="6"/>
      <c r="AL369" s="6"/>
      <c r="AM369" s="6"/>
      <c r="AN369" s="6"/>
      <c r="AO369" s="6"/>
      <c r="AP369" s="6"/>
      <c r="AQ369" s="7"/>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6"/>
      <c r="AC370" s="6"/>
      <c r="AD370" s="6"/>
      <c r="AE370" s="6"/>
      <c r="AF370" s="6"/>
      <c r="AG370" s="6"/>
      <c r="AH370" s="6"/>
      <c r="AI370" s="6"/>
      <c r="AJ370" s="6"/>
      <c r="AK370" s="6"/>
      <c r="AL370" s="6"/>
      <c r="AM370" s="6"/>
      <c r="AN370" s="6"/>
      <c r="AO370" s="6"/>
      <c r="AP370" s="6"/>
      <c r="AQ370" s="7"/>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6"/>
      <c r="AC371" s="6"/>
      <c r="AD371" s="6"/>
      <c r="AE371" s="6"/>
      <c r="AF371" s="6"/>
      <c r="AG371" s="6"/>
      <c r="AH371" s="6"/>
      <c r="AI371" s="6"/>
      <c r="AJ371" s="6"/>
      <c r="AK371" s="6"/>
      <c r="AL371" s="6"/>
      <c r="AM371" s="6"/>
      <c r="AN371" s="6"/>
      <c r="AO371" s="6"/>
      <c r="AP371" s="6"/>
      <c r="AQ371" s="7"/>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6"/>
      <c r="AC372" s="6"/>
      <c r="AD372" s="6"/>
      <c r="AE372" s="6"/>
      <c r="AF372" s="6"/>
      <c r="AG372" s="6"/>
      <c r="AH372" s="6"/>
      <c r="AI372" s="6"/>
      <c r="AJ372" s="6"/>
      <c r="AK372" s="6"/>
      <c r="AL372" s="6"/>
      <c r="AM372" s="6"/>
      <c r="AN372" s="6"/>
      <c r="AO372" s="6"/>
      <c r="AP372" s="6"/>
      <c r="AQ372" s="7"/>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6"/>
      <c r="AC373" s="6"/>
      <c r="AD373" s="6"/>
      <c r="AE373" s="6"/>
      <c r="AF373" s="6"/>
      <c r="AG373" s="6"/>
      <c r="AH373" s="6"/>
      <c r="AI373" s="6"/>
      <c r="AJ373" s="6"/>
      <c r="AK373" s="6"/>
      <c r="AL373" s="6"/>
      <c r="AM373" s="6"/>
      <c r="AN373" s="6"/>
      <c r="AO373" s="6"/>
      <c r="AP373" s="6"/>
      <c r="AQ373" s="7"/>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6"/>
      <c r="AC374" s="6"/>
      <c r="AD374" s="6"/>
      <c r="AE374" s="6"/>
      <c r="AF374" s="6"/>
      <c r="AG374" s="6"/>
      <c r="AH374" s="6"/>
      <c r="AI374" s="6"/>
      <c r="AJ374" s="6"/>
      <c r="AK374" s="6"/>
      <c r="AL374" s="6"/>
      <c r="AM374" s="6"/>
      <c r="AN374" s="6"/>
      <c r="AO374" s="6"/>
      <c r="AP374" s="6"/>
      <c r="AQ374" s="7"/>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6"/>
      <c r="AC375" s="6"/>
      <c r="AD375" s="6"/>
      <c r="AE375" s="6"/>
      <c r="AF375" s="6"/>
      <c r="AG375" s="6"/>
      <c r="AH375" s="6"/>
      <c r="AI375" s="6"/>
      <c r="AJ375" s="6"/>
      <c r="AK375" s="6"/>
      <c r="AL375" s="6"/>
      <c r="AM375" s="6"/>
      <c r="AN375" s="6"/>
      <c r="AO375" s="6"/>
      <c r="AP375" s="6"/>
      <c r="AQ375" s="7"/>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6"/>
      <c r="AC376" s="6"/>
      <c r="AD376" s="6"/>
      <c r="AE376" s="6"/>
      <c r="AF376" s="6"/>
      <c r="AG376" s="6"/>
      <c r="AH376" s="6"/>
      <c r="AI376" s="6"/>
      <c r="AJ376" s="6"/>
      <c r="AK376" s="6"/>
      <c r="AL376" s="6"/>
      <c r="AM376" s="6"/>
      <c r="AN376" s="6"/>
      <c r="AO376" s="6"/>
      <c r="AP376" s="6"/>
      <c r="AQ376" s="7"/>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6"/>
      <c r="AC377" s="6"/>
      <c r="AD377" s="6"/>
      <c r="AE377" s="6"/>
      <c r="AF377" s="6"/>
      <c r="AG377" s="6"/>
      <c r="AH377" s="6"/>
      <c r="AI377" s="6"/>
      <c r="AJ377" s="6"/>
      <c r="AK377" s="6"/>
      <c r="AL377" s="6"/>
      <c r="AM377" s="6"/>
      <c r="AN377" s="6"/>
      <c r="AO377" s="6"/>
      <c r="AP377" s="6"/>
      <c r="AQ377" s="7"/>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6"/>
      <c r="AC378" s="6"/>
      <c r="AD378" s="6"/>
      <c r="AE378" s="6"/>
      <c r="AF378" s="6"/>
      <c r="AG378" s="6"/>
      <c r="AH378" s="6"/>
      <c r="AI378" s="6"/>
      <c r="AJ378" s="6"/>
      <c r="AK378" s="6"/>
      <c r="AL378" s="6"/>
      <c r="AM378" s="6"/>
      <c r="AN378" s="6"/>
      <c r="AO378" s="6"/>
      <c r="AP378" s="6"/>
      <c r="AQ378" s="7"/>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6"/>
      <c r="AC379" s="6"/>
      <c r="AD379" s="6"/>
      <c r="AE379" s="6"/>
      <c r="AF379" s="6"/>
      <c r="AG379" s="6"/>
      <c r="AH379" s="6"/>
      <c r="AI379" s="6"/>
      <c r="AJ379" s="6"/>
      <c r="AK379" s="6"/>
      <c r="AL379" s="6"/>
      <c r="AM379" s="6"/>
      <c r="AN379" s="6"/>
      <c r="AO379" s="6"/>
      <c r="AP379" s="6"/>
      <c r="AQ379" s="7"/>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6"/>
      <c r="AC380" s="6"/>
      <c r="AD380" s="6"/>
      <c r="AE380" s="6"/>
      <c r="AF380" s="6"/>
      <c r="AG380" s="6"/>
      <c r="AH380" s="6"/>
      <c r="AI380" s="6"/>
      <c r="AJ380" s="6"/>
      <c r="AK380" s="6"/>
      <c r="AL380" s="6"/>
      <c r="AM380" s="6"/>
      <c r="AN380" s="6"/>
      <c r="AO380" s="6"/>
      <c r="AP380" s="6"/>
      <c r="AQ380" s="7"/>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6"/>
      <c r="AC381" s="6"/>
      <c r="AD381" s="6"/>
      <c r="AE381" s="6"/>
      <c r="AF381" s="6"/>
      <c r="AG381" s="6"/>
      <c r="AH381" s="6"/>
      <c r="AI381" s="6"/>
      <c r="AJ381" s="6"/>
      <c r="AK381" s="6"/>
      <c r="AL381" s="6"/>
      <c r="AM381" s="6"/>
      <c r="AN381" s="6"/>
      <c r="AO381" s="6"/>
      <c r="AP381" s="6"/>
      <c r="AQ381" s="7"/>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6"/>
      <c r="AC382" s="6"/>
      <c r="AD382" s="6"/>
      <c r="AE382" s="6"/>
      <c r="AF382" s="6"/>
      <c r="AG382" s="6"/>
      <c r="AH382" s="6"/>
      <c r="AI382" s="6"/>
      <c r="AJ382" s="6"/>
      <c r="AK382" s="6"/>
      <c r="AL382" s="6"/>
      <c r="AM382" s="6"/>
      <c r="AN382" s="6"/>
      <c r="AO382" s="6"/>
      <c r="AP382" s="6"/>
      <c r="AQ382" s="7"/>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6"/>
      <c r="AC383" s="6"/>
      <c r="AD383" s="6"/>
      <c r="AE383" s="6"/>
      <c r="AF383" s="6"/>
      <c r="AG383" s="6"/>
      <c r="AH383" s="6"/>
      <c r="AI383" s="6"/>
      <c r="AJ383" s="6"/>
      <c r="AK383" s="6"/>
      <c r="AL383" s="6"/>
      <c r="AM383" s="6"/>
      <c r="AN383" s="6"/>
      <c r="AO383" s="6"/>
      <c r="AP383" s="6"/>
      <c r="AQ383" s="7"/>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6"/>
      <c r="AC384" s="6"/>
      <c r="AD384" s="6"/>
      <c r="AE384" s="6"/>
      <c r="AF384" s="6"/>
      <c r="AG384" s="6"/>
      <c r="AH384" s="6"/>
      <c r="AI384" s="6"/>
      <c r="AJ384" s="6"/>
      <c r="AK384" s="6"/>
      <c r="AL384" s="6"/>
      <c r="AM384" s="6"/>
      <c r="AN384" s="6"/>
      <c r="AO384" s="6"/>
      <c r="AP384" s="6"/>
      <c r="AQ384" s="7"/>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6"/>
      <c r="AC385" s="6"/>
      <c r="AD385" s="6"/>
      <c r="AE385" s="6"/>
      <c r="AF385" s="6"/>
      <c r="AG385" s="6"/>
      <c r="AH385" s="6"/>
      <c r="AI385" s="6"/>
      <c r="AJ385" s="6"/>
      <c r="AK385" s="6"/>
      <c r="AL385" s="6"/>
      <c r="AM385" s="6"/>
      <c r="AN385" s="6"/>
      <c r="AO385" s="6"/>
      <c r="AP385" s="6"/>
      <c r="AQ385" s="7"/>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6"/>
      <c r="AC386" s="6"/>
      <c r="AD386" s="6"/>
      <c r="AE386" s="6"/>
      <c r="AF386" s="6"/>
      <c r="AG386" s="6"/>
      <c r="AH386" s="6"/>
      <c r="AI386" s="6"/>
      <c r="AJ386" s="6"/>
      <c r="AK386" s="6"/>
      <c r="AL386" s="6"/>
      <c r="AM386" s="6"/>
      <c r="AN386" s="6"/>
      <c r="AO386" s="6"/>
      <c r="AP386" s="6"/>
      <c r="AQ386" s="7"/>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6"/>
      <c r="AC387" s="6"/>
      <c r="AD387" s="6"/>
      <c r="AE387" s="6"/>
      <c r="AF387" s="6"/>
      <c r="AG387" s="6"/>
      <c r="AH387" s="6"/>
      <c r="AI387" s="6"/>
      <c r="AJ387" s="6"/>
      <c r="AK387" s="6"/>
      <c r="AL387" s="6"/>
      <c r="AM387" s="6"/>
      <c r="AN387" s="6"/>
      <c r="AO387" s="6"/>
      <c r="AP387" s="6"/>
      <c r="AQ387" s="7"/>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6"/>
      <c r="AC388" s="6"/>
      <c r="AD388" s="6"/>
      <c r="AE388" s="6"/>
      <c r="AF388" s="6"/>
      <c r="AG388" s="6"/>
      <c r="AH388" s="6"/>
      <c r="AI388" s="6"/>
      <c r="AJ388" s="6"/>
      <c r="AK388" s="6"/>
      <c r="AL388" s="6"/>
      <c r="AM388" s="6"/>
      <c r="AN388" s="6"/>
      <c r="AO388" s="6"/>
      <c r="AP388" s="6"/>
      <c r="AQ388" s="7"/>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6"/>
      <c r="AC389" s="6"/>
      <c r="AD389" s="6"/>
      <c r="AE389" s="6"/>
      <c r="AF389" s="6"/>
      <c r="AG389" s="6"/>
      <c r="AH389" s="6"/>
      <c r="AI389" s="6"/>
      <c r="AJ389" s="6"/>
      <c r="AK389" s="6"/>
      <c r="AL389" s="6"/>
      <c r="AM389" s="6"/>
      <c r="AN389" s="6"/>
      <c r="AO389" s="6"/>
      <c r="AP389" s="6"/>
      <c r="AQ389" s="7"/>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6"/>
      <c r="AC390" s="6"/>
      <c r="AD390" s="6"/>
      <c r="AE390" s="6"/>
      <c r="AF390" s="6"/>
      <c r="AG390" s="6"/>
      <c r="AH390" s="6"/>
      <c r="AI390" s="6"/>
      <c r="AJ390" s="6"/>
      <c r="AK390" s="6"/>
      <c r="AL390" s="6"/>
      <c r="AM390" s="6"/>
      <c r="AN390" s="6"/>
      <c r="AO390" s="6"/>
      <c r="AP390" s="6"/>
      <c r="AQ390" s="7"/>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6"/>
      <c r="AC391" s="6"/>
      <c r="AD391" s="6"/>
      <c r="AE391" s="6"/>
      <c r="AF391" s="6"/>
      <c r="AG391" s="6"/>
      <c r="AH391" s="6"/>
      <c r="AI391" s="6"/>
      <c r="AJ391" s="6"/>
      <c r="AK391" s="6"/>
      <c r="AL391" s="6"/>
      <c r="AM391" s="6"/>
      <c r="AN391" s="6"/>
      <c r="AO391" s="6"/>
      <c r="AP391" s="6"/>
      <c r="AQ391" s="7"/>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6"/>
      <c r="AC392" s="6"/>
      <c r="AD392" s="6"/>
      <c r="AE392" s="6"/>
      <c r="AF392" s="6"/>
      <c r="AG392" s="6"/>
      <c r="AH392" s="6"/>
      <c r="AI392" s="6"/>
      <c r="AJ392" s="6"/>
      <c r="AK392" s="6"/>
      <c r="AL392" s="6"/>
      <c r="AM392" s="6"/>
      <c r="AN392" s="6"/>
      <c r="AO392" s="6"/>
      <c r="AP392" s="6"/>
      <c r="AQ392" s="7"/>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6"/>
      <c r="AC393" s="6"/>
      <c r="AD393" s="6"/>
      <c r="AE393" s="6"/>
      <c r="AF393" s="6"/>
      <c r="AG393" s="6"/>
      <c r="AH393" s="6"/>
      <c r="AI393" s="6"/>
      <c r="AJ393" s="6"/>
      <c r="AK393" s="6"/>
      <c r="AL393" s="6"/>
      <c r="AM393" s="6"/>
      <c r="AN393" s="6"/>
      <c r="AO393" s="6"/>
      <c r="AP393" s="6"/>
      <c r="AQ393" s="7"/>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6"/>
      <c r="AC394" s="6"/>
      <c r="AD394" s="6"/>
      <c r="AE394" s="6"/>
      <c r="AF394" s="6"/>
      <c r="AG394" s="6"/>
      <c r="AH394" s="6"/>
      <c r="AI394" s="6"/>
      <c r="AJ394" s="6"/>
      <c r="AK394" s="6"/>
      <c r="AL394" s="6"/>
      <c r="AM394" s="6"/>
      <c r="AN394" s="6"/>
      <c r="AO394" s="6"/>
      <c r="AP394" s="6"/>
      <c r="AQ394" s="7"/>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6"/>
      <c r="AC395" s="6"/>
      <c r="AD395" s="6"/>
      <c r="AE395" s="6"/>
      <c r="AF395" s="6"/>
      <c r="AG395" s="6"/>
      <c r="AH395" s="6"/>
      <c r="AI395" s="6"/>
      <c r="AJ395" s="6"/>
      <c r="AK395" s="6"/>
      <c r="AL395" s="6"/>
      <c r="AM395" s="6"/>
      <c r="AN395" s="6"/>
      <c r="AO395" s="6"/>
      <c r="AP395" s="6"/>
      <c r="AQ395" s="7"/>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6"/>
      <c r="AC396" s="6"/>
      <c r="AD396" s="6"/>
      <c r="AE396" s="6"/>
      <c r="AF396" s="6"/>
      <c r="AG396" s="6"/>
      <c r="AH396" s="6"/>
      <c r="AI396" s="6"/>
      <c r="AJ396" s="6"/>
      <c r="AK396" s="6"/>
      <c r="AL396" s="6"/>
      <c r="AM396" s="6"/>
      <c r="AN396" s="6"/>
      <c r="AO396" s="6"/>
      <c r="AP396" s="6"/>
      <c r="AQ396" s="7"/>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6"/>
      <c r="AC397" s="6"/>
      <c r="AD397" s="6"/>
      <c r="AE397" s="6"/>
      <c r="AF397" s="6"/>
      <c r="AG397" s="6"/>
      <c r="AH397" s="6"/>
      <c r="AI397" s="6"/>
      <c r="AJ397" s="6"/>
      <c r="AK397" s="6"/>
      <c r="AL397" s="6"/>
      <c r="AM397" s="6"/>
      <c r="AN397" s="6"/>
      <c r="AO397" s="6"/>
      <c r="AP397" s="6"/>
      <c r="AQ397" s="7"/>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6"/>
      <c r="AC398" s="6"/>
      <c r="AD398" s="6"/>
      <c r="AE398" s="6"/>
      <c r="AF398" s="6"/>
      <c r="AG398" s="6"/>
      <c r="AH398" s="6"/>
      <c r="AI398" s="6"/>
      <c r="AJ398" s="6"/>
      <c r="AK398" s="6"/>
      <c r="AL398" s="6"/>
      <c r="AM398" s="6"/>
      <c r="AN398" s="6"/>
      <c r="AO398" s="6"/>
      <c r="AP398" s="6"/>
      <c r="AQ398" s="7"/>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6"/>
      <c r="AC399" s="6"/>
      <c r="AD399" s="6"/>
      <c r="AE399" s="6"/>
      <c r="AF399" s="6"/>
      <c r="AG399" s="6"/>
      <c r="AH399" s="6"/>
      <c r="AI399" s="6"/>
      <c r="AJ399" s="6"/>
      <c r="AK399" s="6"/>
      <c r="AL399" s="6"/>
      <c r="AM399" s="6"/>
      <c r="AN399" s="6"/>
      <c r="AO399" s="6"/>
      <c r="AP399" s="6"/>
      <c r="AQ399" s="7"/>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6"/>
      <c r="AC400" s="6"/>
      <c r="AD400" s="6"/>
      <c r="AE400" s="6"/>
      <c r="AF400" s="6"/>
      <c r="AG400" s="6"/>
      <c r="AH400" s="6"/>
      <c r="AI400" s="6"/>
      <c r="AJ400" s="6"/>
      <c r="AK400" s="6"/>
      <c r="AL400" s="6"/>
      <c r="AM400" s="6"/>
      <c r="AN400" s="6"/>
      <c r="AO400" s="6"/>
      <c r="AP400" s="6"/>
      <c r="AQ400" s="7"/>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6"/>
      <c r="AC401" s="6"/>
      <c r="AD401" s="6"/>
      <c r="AE401" s="6"/>
      <c r="AF401" s="6"/>
      <c r="AG401" s="6"/>
      <c r="AH401" s="6"/>
      <c r="AI401" s="6"/>
      <c r="AJ401" s="6"/>
      <c r="AK401" s="6"/>
      <c r="AL401" s="6"/>
      <c r="AM401" s="6"/>
      <c r="AN401" s="6"/>
      <c r="AO401" s="6"/>
      <c r="AP401" s="6"/>
      <c r="AQ401" s="7"/>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6"/>
      <c r="AC402" s="6"/>
      <c r="AD402" s="6"/>
      <c r="AE402" s="6"/>
      <c r="AF402" s="6"/>
      <c r="AG402" s="6"/>
      <c r="AH402" s="6"/>
      <c r="AI402" s="6"/>
      <c r="AJ402" s="6"/>
      <c r="AK402" s="6"/>
      <c r="AL402" s="6"/>
      <c r="AM402" s="6"/>
      <c r="AN402" s="6"/>
      <c r="AO402" s="6"/>
      <c r="AP402" s="6"/>
      <c r="AQ402" s="7"/>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6"/>
      <c r="AC403" s="6"/>
      <c r="AD403" s="6"/>
      <c r="AE403" s="6"/>
      <c r="AF403" s="6"/>
      <c r="AG403" s="6"/>
      <c r="AH403" s="6"/>
      <c r="AI403" s="6"/>
      <c r="AJ403" s="6"/>
      <c r="AK403" s="6"/>
      <c r="AL403" s="6"/>
      <c r="AM403" s="6"/>
      <c r="AN403" s="6"/>
      <c r="AO403" s="6"/>
      <c r="AP403" s="6"/>
      <c r="AQ403" s="7"/>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6"/>
      <c r="AC404" s="6"/>
      <c r="AD404" s="6"/>
      <c r="AE404" s="6"/>
      <c r="AF404" s="6"/>
      <c r="AG404" s="6"/>
      <c r="AH404" s="6"/>
      <c r="AI404" s="6"/>
      <c r="AJ404" s="6"/>
      <c r="AK404" s="6"/>
      <c r="AL404" s="6"/>
      <c r="AM404" s="6"/>
      <c r="AN404" s="6"/>
      <c r="AO404" s="6"/>
      <c r="AP404" s="6"/>
      <c r="AQ404" s="7"/>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6"/>
      <c r="AC405" s="6"/>
      <c r="AD405" s="6"/>
      <c r="AE405" s="6"/>
      <c r="AF405" s="6"/>
      <c r="AG405" s="6"/>
      <c r="AH405" s="6"/>
      <c r="AI405" s="6"/>
      <c r="AJ405" s="6"/>
      <c r="AK405" s="6"/>
      <c r="AL405" s="6"/>
      <c r="AM405" s="6"/>
      <c r="AN405" s="6"/>
      <c r="AO405" s="6"/>
      <c r="AP405" s="6"/>
      <c r="AQ405" s="7"/>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6"/>
      <c r="AC406" s="6"/>
      <c r="AD406" s="6"/>
      <c r="AE406" s="6"/>
      <c r="AF406" s="6"/>
      <c r="AG406" s="6"/>
      <c r="AH406" s="6"/>
      <c r="AI406" s="6"/>
      <c r="AJ406" s="6"/>
      <c r="AK406" s="6"/>
      <c r="AL406" s="6"/>
      <c r="AM406" s="6"/>
      <c r="AN406" s="6"/>
      <c r="AO406" s="6"/>
      <c r="AP406" s="6"/>
      <c r="AQ406" s="7"/>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6"/>
      <c r="AC407" s="6"/>
      <c r="AD407" s="6"/>
      <c r="AE407" s="6"/>
      <c r="AF407" s="6"/>
      <c r="AG407" s="6"/>
      <c r="AH407" s="6"/>
      <c r="AI407" s="6"/>
      <c r="AJ407" s="6"/>
      <c r="AK407" s="6"/>
      <c r="AL407" s="6"/>
      <c r="AM407" s="6"/>
      <c r="AN407" s="6"/>
      <c r="AO407" s="6"/>
      <c r="AP407" s="6"/>
      <c r="AQ407" s="7"/>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6"/>
      <c r="AC408" s="6"/>
      <c r="AD408" s="6"/>
      <c r="AE408" s="6"/>
      <c r="AF408" s="6"/>
      <c r="AG408" s="6"/>
      <c r="AH408" s="6"/>
      <c r="AI408" s="6"/>
      <c r="AJ408" s="6"/>
      <c r="AK408" s="6"/>
      <c r="AL408" s="6"/>
      <c r="AM408" s="6"/>
      <c r="AN408" s="6"/>
      <c r="AO408" s="6"/>
      <c r="AP408" s="6"/>
      <c r="AQ408" s="7"/>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6"/>
      <c r="AC409" s="6"/>
      <c r="AD409" s="6"/>
      <c r="AE409" s="6"/>
      <c r="AF409" s="6"/>
      <c r="AG409" s="6"/>
      <c r="AH409" s="6"/>
      <c r="AI409" s="6"/>
      <c r="AJ409" s="6"/>
      <c r="AK409" s="6"/>
      <c r="AL409" s="6"/>
      <c r="AM409" s="6"/>
      <c r="AN409" s="6"/>
      <c r="AO409" s="6"/>
      <c r="AP409" s="6"/>
      <c r="AQ409" s="7"/>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6"/>
      <c r="AC410" s="6"/>
      <c r="AD410" s="6"/>
      <c r="AE410" s="6"/>
      <c r="AF410" s="6"/>
      <c r="AG410" s="6"/>
      <c r="AH410" s="6"/>
      <c r="AI410" s="6"/>
      <c r="AJ410" s="6"/>
      <c r="AK410" s="6"/>
      <c r="AL410" s="6"/>
      <c r="AM410" s="6"/>
      <c r="AN410" s="6"/>
      <c r="AO410" s="6"/>
      <c r="AP410" s="6"/>
      <c r="AQ410" s="7"/>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6"/>
      <c r="AC411" s="6"/>
      <c r="AD411" s="6"/>
      <c r="AE411" s="6"/>
      <c r="AF411" s="6"/>
      <c r="AG411" s="6"/>
      <c r="AH411" s="6"/>
      <c r="AI411" s="6"/>
      <c r="AJ411" s="6"/>
      <c r="AK411" s="6"/>
      <c r="AL411" s="6"/>
      <c r="AM411" s="6"/>
      <c r="AN411" s="6"/>
      <c r="AO411" s="6"/>
      <c r="AP411" s="6"/>
      <c r="AQ411" s="7"/>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6"/>
      <c r="AC412" s="6"/>
      <c r="AD412" s="6"/>
      <c r="AE412" s="6"/>
      <c r="AF412" s="6"/>
      <c r="AG412" s="6"/>
      <c r="AH412" s="6"/>
      <c r="AI412" s="6"/>
      <c r="AJ412" s="6"/>
      <c r="AK412" s="6"/>
      <c r="AL412" s="6"/>
      <c r="AM412" s="6"/>
      <c r="AN412" s="6"/>
      <c r="AO412" s="6"/>
      <c r="AP412" s="6"/>
      <c r="AQ412" s="7"/>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6"/>
      <c r="AC413" s="6"/>
      <c r="AD413" s="6"/>
      <c r="AE413" s="6"/>
      <c r="AF413" s="6"/>
      <c r="AG413" s="6"/>
      <c r="AH413" s="6"/>
      <c r="AI413" s="6"/>
      <c r="AJ413" s="6"/>
      <c r="AK413" s="6"/>
      <c r="AL413" s="6"/>
      <c r="AM413" s="6"/>
      <c r="AN413" s="6"/>
      <c r="AO413" s="6"/>
      <c r="AP413" s="6"/>
      <c r="AQ413" s="7"/>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6"/>
      <c r="AC414" s="6"/>
      <c r="AD414" s="6"/>
      <c r="AE414" s="6"/>
      <c r="AF414" s="6"/>
      <c r="AG414" s="6"/>
      <c r="AH414" s="6"/>
      <c r="AI414" s="6"/>
      <c r="AJ414" s="6"/>
      <c r="AK414" s="6"/>
      <c r="AL414" s="6"/>
      <c r="AM414" s="6"/>
      <c r="AN414" s="6"/>
      <c r="AO414" s="6"/>
      <c r="AP414" s="6"/>
      <c r="AQ414" s="7"/>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6"/>
      <c r="AC415" s="6"/>
      <c r="AD415" s="6"/>
      <c r="AE415" s="6"/>
      <c r="AF415" s="6"/>
      <c r="AG415" s="6"/>
      <c r="AH415" s="6"/>
      <c r="AI415" s="6"/>
      <c r="AJ415" s="6"/>
      <c r="AK415" s="6"/>
      <c r="AL415" s="6"/>
      <c r="AM415" s="6"/>
      <c r="AN415" s="6"/>
      <c r="AO415" s="6"/>
      <c r="AP415" s="6"/>
      <c r="AQ415" s="7"/>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6"/>
      <c r="AC416" s="6"/>
      <c r="AD416" s="6"/>
      <c r="AE416" s="6"/>
      <c r="AF416" s="6"/>
      <c r="AG416" s="6"/>
      <c r="AH416" s="6"/>
      <c r="AI416" s="6"/>
      <c r="AJ416" s="6"/>
      <c r="AK416" s="6"/>
      <c r="AL416" s="6"/>
      <c r="AM416" s="6"/>
      <c r="AN416" s="6"/>
      <c r="AO416" s="6"/>
      <c r="AP416" s="6"/>
      <c r="AQ416" s="7"/>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6"/>
      <c r="AC417" s="6"/>
      <c r="AD417" s="6"/>
      <c r="AE417" s="6"/>
      <c r="AF417" s="6"/>
      <c r="AG417" s="6"/>
      <c r="AH417" s="6"/>
      <c r="AI417" s="6"/>
      <c r="AJ417" s="6"/>
      <c r="AK417" s="6"/>
      <c r="AL417" s="6"/>
      <c r="AM417" s="6"/>
      <c r="AN417" s="6"/>
      <c r="AO417" s="6"/>
      <c r="AP417" s="6"/>
      <c r="AQ417" s="7"/>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6"/>
      <c r="AC418" s="6"/>
      <c r="AD418" s="6"/>
      <c r="AE418" s="6"/>
      <c r="AF418" s="6"/>
      <c r="AG418" s="6"/>
      <c r="AH418" s="6"/>
      <c r="AI418" s="6"/>
      <c r="AJ418" s="6"/>
      <c r="AK418" s="6"/>
      <c r="AL418" s="6"/>
      <c r="AM418" s="6"/>
      <c r="AN418" s="6"/>
      <c r="AO418" s="6"/>
      <c r="AP418" s="6"/>
      <c r="AQ418" s="7"/>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6"/>
      <c r="AC419" s="6"/>
      <c r="AD419" s="6"/>
      <c r="AE419" s="6"/>
      <c r="AF419" s="6"/>
      <c r="AG419" s="6"/>
      <c r="AH419" s="6"/>
      <c r="AI419" s="6"/>
      <c r="AJ419" s="6"/>
      <c r="AK419" s="6"/>
      <c r="AL419" s="6"/>
      <c r="AM419" s="6"/>
      <c r="AN419" s="6"/>
      <c r="AO419" s="6"/>
      <c r="AP419" s="6"/>
      <c r="AQ419" s="7"/>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6"/>
      <c r="AC420" s="6"/>
      <c r="AD420" s="6"/>
      <c r="AE420" s="6"/>
      <c r="AF420" s="6"/>
      <c r="AG420" s="6"/>
      <c r="AH420" s="6"/>
      <c r="AI420" s="6"/>
      <c r="AJ420" s="6"/>
      <c r="AK420" s="6"/>
      <c r="AL420" s="6"/>
      <c r="AM420" s="6"/>
      <c r="AN420" s="6"/>
      <c r="AO420" s="6"/>
      <c r="AP420" s="6"/>
      <c r="AQ420" s="7"/>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6"/>
      <c r="AC421" s="6"/>
      <c r="AD421" s="6"/>
      <c r="AE421" s="6"/>
      <c r="AF421" s="6"/>
      <c r="AG421" s="6"/>
      <c r="AH421" s="6"/>
      <c r="AI421" s="6"/>
      <c r="AJ421" s="6"/>
      <c r="AK421" s="6"/>
      <c r="AL421" s="6"/>
      <c r="AM421" s="6"/>
      <c r="AN421" s="6"/>
      <c r="AO421" s="6"/>
      <c r="AP421" s="6"/>
      <c r="AQ421" s="7"/>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6"/>
      <c r="AC422" s="6"/>
      <c r="AD422" s="6"/>
      <c r="AE422" s="6"/>
      <c r="AF422" s="6"/>
      <c r="AG422" s="6"/>
      <c r="AH422" s="6"/>
      <c r="AI422" s="6"/>
      <c r="AJ422" s="6"/>
      <c r="AK422" s="6"/>
      <c r="AL422" s="6"/>
      <c r="AM422" s="6"/>
      <c r="AN422" s="6"/>
      <c r="AO422" s="6"/>
      <c r="AP422" s="6"/>
      <c r="AQ422" s="7"/>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6"/>
      <c r="AC423" s="6"/>
      <c r="AD423" s="6"/>
      <c r="AE423" s="6"/>
      <c r="AF423" s="6"/>
      <c r="AG423" s="6"/>
      <c r="AH423" s="6"/>
      <c r="AI423" s="6"/>
      <c r="AJ423" s="6"/>
      <c r="AK423" s="6"/>
      <c r="AL423" s="6"/>
      <c r="AM423" s="6"/>
      <c r="AN423" s="6"/>
      <c r="AO423" s="6"/>
      <c r="AP423" s="6"/>
      <c r="AQ423" s="7"/>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6"/>
      <c r="AC424" s="6"/>
      <c r="AD424" s="6"/>
      <c r="AE424" s="6"/>
      <c r="AF424" s="6"/>
      <c r="AG424" s="6"/>
      <c r="AH424" s="6"/>
      <c r="AI424" s="6"/>
      <c r="AJ424" s="6"/>
      <c r="AK424" s="6"/>
      <c r="AL424" s="6"/>
      <c r="AM424" s="6"/>
      <c r="AN424" s="6"/>
      <c r="AO424" s="6"/>
      <c r="AP424" s="6"/>
      <c r="AQ424" s="7"/>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6"/>
      <c r="AC425" s="6"/>
      <c r="AD425" s="6"/>
      <c r="AE425" s="6"/>
      <c r="AF425" s="6"/>
      <c r="AG425" s="6"/>
      <c r="AH425" s="6"/>
      <c r="AI425" s="6"/>
      <c r="AJ425" s="6"/>
      <c r="AK425" s="6"/>
      <c r="AL425" s="6"/>
      <c r="AM425" s="6"/>
      <c r="AN425" s="6"/>
      <c r="AO425" s="6"/>
      <c r="AP425" s="6"/>
      <c r="AQ425" s="7"/>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6"/>
      <c r="AC426" s="6"/>
      <c r="AD426" s="6"/>
      <c r="AE426" s="6"/>
      <c r="AF426" s="6"/>
      <c r="AG426" s="6"/>
      <c r="AH426" s="6"/>
      <c r="AI426" s="6"/>
      <c r="AJ426" s="6"/>
      <c r="AK426" s="6"/>
      <c r="AL426" s="6"/>
      <c r="AM426" s="6"/>
      <c r="AN426" s="6"/>
      <c r="AO426" s="6"/>
      <c r="AP426" s="6"/>
      <c r="AQ426" s="7"/>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6"/>
      <c r="AC427" s="6"/>
      <c r="AD427" s="6"/>
      <c r="AE427" s="6"/>
      <c r="AF427" s="6"/>
      <c r="AG427" s="6"/>
      <c r="AH427" s="6"/>
      <c r="AI427" s="6"/>
      <c r="AJ427" s="6"/>
      <c r="AK427" s="6"/>
      <c r="AL427" s="6"/>
      <c r="AM427" s="6"/>
      <c r="AN427" s="6"/>
      <c r="AO427" s="6"/>
      <c r="AP427" s="6"/>
      <c r="AQ427" s="7"/>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6"/>
      <c r="AC428" s="6"/>
      <c r="AD428" s="6"/>
      <c r="AE428" s="6"/>
      <c r="AF428" s="6"/>
      <c r="AG428" s="6"/>
      <c r="AH428" s="6"/>
      <c r="AI428" s="6"/>
      <c r="AJ428" s="6"/>
      <c r="AK428" s="6"/>
      <c r="AL428" s="6"/>
      <c r="AM428" s="6"/>
      <c r="AN428" s="6"/>
      <c r="AO428" s="6"/>
      <c r="AP428" s="6"/>
      <c r="AQ428" s="7"/>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6"/>
      <c r="AC429" s="6"/>
      <c r="AD429" s="6"/>
      <c r="AE429" s="6"/>
      <c r="AF429" s="6"/>
      <c r="AG429" s="6"/>
      <c r="AH429" s="6"/>
      <c r="AI429" s="6"/>
      <c r="AJ429" s="6"/>
      <c r="AK429" s="6"/>
      <c r="AL429" s="6"/>
      <c r="AM429" s="6"/>
      <c r="AN429" s="6"/>
      <c r="AO429" s="6"/>
      <c r="AP429" s="6"/>
      <c r="AQ429" s="7"/>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6"/>
      <c r="AC430" s="6"/>
      <c r="AD430" s="6"/>
      <c r="AE430" s="6"/>
      <c r="AF430" s="6"/>
      <c r="AG430" s="6"/>
      <c r="AH430" s="6"/>
      <c r="AI430" s="6"/>
      <c r="AJ430" s="6"/>
      <c r="AK430" s="6"/>
      <c r="AL430" s="6"/>
      <c r="AM430" s="6"/>
      <c r="AN430" s="6"/>
      <c r="AO430" s="6"/>
      <c r="AP430" s="6"/>
      <c r="AQ430" s="7"/>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6"/>
      <c r="AC431" s="6"/>
      <c r="AD431" s="6"/>
      <c r="AE431" s="6"/>
      <c r="AF431" s="6"/>
      <c r="AG431" s="6"/>
      <c r="AH431" s="6"/>
      <c r="AI431" s="6"/>
      <c r="AJ431" s="6"/>
      <c r="AK431" s="6"/>
      <c r="AL431" s="6"/>
      <c r="AM431" s="6"/>
      <c r="AN431" s="6"/>
      <c r="AO431" s="6"/>
      <c r="AP431" s="6"/>
      <c r="AQ431" s="7"/>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6"/>
      <c r="AC432" s="6"/>
      <c r="AD432" s="6"/>
      <c r="AE432" s="6"/>
      <c r="AF432" s="6"/>
      <c r="AG432" s="6"/>
      <c r="AH432" s="6"/>
      <c r="AI432" s="6"/>
      <c r="AJ432" s="6"/>
      <c r="AK432" s="6"/>
      <c r="AL432" s="6"/>
      <c r="AM432" s="6"/>
      <c r="AN432" s="6"/>
      <c r="AO432" s="6"/>
      <c r="AP432" s="6"/>
      <c r="AQ432" s="7"/>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6"/>
      <c r="AC433" s="6"/>
      <c r="AD433" s="6"/>
      <c r="AE433" s="6"/>
      <c r="AF433" s="6"/>
      <c r="AG433" s="6"/>
      <c r="AH433" s="6"/>
      <c r="AI433" s="6"/>
      <c r="AJ433" s="6"/>
      <c r="AK433" s="6"/>
      <c r="AL433" s="6"/>
      <c r="AM433" s="6"/>
      <c r="AN433" s="6"/>
      <c r="AO433" s="6"/>
      <c r="AP433" s="6"/>
      <c r="AQ433" s="7"/>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6"/>
      <c r="AC434" s="6"/>
      <c r="AD434" s="6"/>
      <c r="AE434" s="6"/>
      <c r="AF434" s="6"/>
      <c r="AG434" s="6"/>
      <c r="AH434" s="6"/>
      <c r="AI434" s="6"/>
      <c r="AJ434" s="6"/>
      <c r="AK434" s="6"/>
      <c r="AL434" s="6"/>
      <c r="AM434" s="6"/>
      <c r="AN434" s="6"/>
      <c r="AO434" s="6"/>
      <c r="AP434" s="6"/>
      <c r="AQ434" s="7"/>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6"/>
      <c r="AC435" s="6"/>
      <c r="AD435" s="6"/>
      <c r="AE435" s="6"/>
      <c r="AF435" s="6"/>
      <c r="AG435" s="6"/>
      <c r="AH435" s="6"/>
      <c r="AI435" s="6"/>
      <c r="AJ435" s="6"/>
      <c r="AK435" s="6"/>
      <c r="AL435" s="6"/>
      <c r="AM435" s="6"/>
      <c r="AN435" s="6"/>
      <c r="AO435" s="6"/>
      <c r="AP435" s="6"/>
      <c r="AQ435" s="7"/>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6"/>
      <c r="AC436" s="6"/>
      <c r="AD436" s="6"/>
      <c r="AE436" s="6"/>
      <c r="AF436" s="6"/>
      <c r="AG436" s="6"/>
      <c r="AH436" s="6"/>
      <c r="AI436" s="6"/>
      <c r="AJ436" s="6"/>
      <c r="AK436" s="6"/>
      <c r="AL436" s="6"/>
      <c r="AM436" s="6"/>
      <c r="AN436" s="6"/>
      <c r="AO436" s="6"/>
      <c r="AP436" s="6"/>
      <c r="AQ436" s="7"/>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6"/>
      <c r="AC437" s="6"/>
      <c r="AD437" s="6"/>
      <c r="AE437" s="6"/>
      <c r="AF437" s="6"/>
      <c r="AG437" s="6"/>
      <c r="AH437" s="6"/>
      <c r="AI437" s="6"/>
      <c r="AJ437" s="6"/>
      <c r="AK437" s="6"/>
      <c r="AL437" s="6"/>
      <c r="AM437" s="6"/>
      <c r="AN437" s="6"/>
      <c r="AO437" s="6"/>
      <c r="AP437" s="6"/>
      <c r="AQ437" s="7"/>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6"/>
      <c r="AC438" s="6"/>
      <c r="AD438" s="6"/>
      <c r="AE438" s="6"/>
      <c r="AF438" s="6"/>
      <c r="AG438" s="6"/>
      <c r="AH438" s="6"/>
      <c r="AI438" s="6"/>
      <c r="AJ438" s="6"/>
      <c r="AK438" s="6"/>
      <c r="AL438" s="6"/>
      <c r="AM438" s="6"/>
      <c r="AN438" s="6"/>
      <c r="AO438" s="6"/>
      <c r="AP438" s="6"/>
      <c r="AQ438" s="7"/>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6"/>
      <c r="AC439" s="6"/>
      <c r="AD439" s="6"/>
      <c r="AE439" s="6"/>
      <c r="AF439" s="6"/>
      <c r="AG439" s="6"/>
      <c r="AH439" s="6"/>
      <c r="AI439" s="6"/>
      <c r="AJ439" s="6"/>
      <c r="AK439" s="6"/>
      <c r="AL439" s="6"/>
      <c r="AM439" s="6"/>
      <c r="AN439" s="6"/>
      <c r="AO439" s="6"/>
      <c r="AP439" s="6"/>
      <c r="AQ439" s="7"/>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6"/>
      <c r="AC440" s="6"/>
      <c r="AD440" s="6"/>
      <c r="AE440" s="6"/>
      <c r="AF440" s="6"/>
      <c r="AG440" s="6"/>
      <c r="AH440" s="6"/>
      <c r="AI440" s="6"/>
      <c r="AJ440" s="6"/>
      <c r="AK440" s="6"/>
      <c r="AL440" s="6"/>
      <c r="AM440" s="6"/>
      <c r="AN440" s="6"/>
      <c r="AO440" s="6"/>
      <c r="AP440" s="6"/>
      <c r="AQ440" s="7"/>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6"/>
      <c r="AC441" s="6"/>
      <c r="AD441" s="6"/>
      <c r="AE441" s="6"/>
      <c r="AF441" s="6"/>
      <c r="AG441" s="6"/>
      <c r="AH441" s="6"/>
      <c r="AI441" s="6"/>
      <c r="AJ441" s="6"/>
      <c r="AK441" s="6"/>
      <c r="AL441" s="6"/>
      <c r="AM441" s="6"/>
      <c r="AN441" s="6"/>
      <c r="AO441" s="6"/>
      <c r="AP441" s="6"/>
      <c r="AQ441" s="7"/>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6"/>
      <c r="AC442" s="6"/>
      <c r="AD442" s="6"/>
      <c r="AE442" s="6"/>
      <c r="AF442" s="6"/>
      <c r="AG442" s="6"/>
      <c r="AH442" s="6"/>
      <c r="AI442" s="6"/>
      <c r="AJ442" s="6"/>
      <c r="AK442" s="6"/>
      <c r="AL442" s="6"/>
      <c r="AM442" s="6"/>
      <c r="AN442" s="6"/>
      <c r="AO442" s="6"/>
      <c r="AP442" s="6"/>
      <c r="AQ442" s="7"/>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6"/>
      <c r="AC443" s="6"/>
      <c r="AD443" s="6"/>
      <c r="AE443" s="6"/>
      <c r="AF443" s="6"/>
      <c r="AG443" s="6"/>
      <c r="AH443" s="6"/>
      <c r="AI443" s="6"/>
      <c r="AJ443" s="6"/>
      <c r="AK443" s="6"/>
      <c r="AL443" s="6"/>
      <c r="AM443" s="6"/>
      <c r="AN443" s="6"/>
      <c r="AO443" s="6"/>
      <c r="AP443" s="6"/>
      <c r="AQ443" s="7"/>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6"/>
      <c r="AC444" s="6"/>
      <c r="AD444" s="6"/>
      <c r="AE444" s="6"/>
      <c r="AF444" s="6"/>
      <c r="AG444" s="6"/>
      <c r="AH444" s="6"/>
      <c r="AI444" s="6"/>
      <c r="AJ444" s="6"/>
      <c r="AK444" s="6"/>
      <c r="AL444" s="6"/>
      <c r="AM444" s="6"/>
      <c r="AN444" s="6"/>
      <c r="AO444" s="6"/>
      <c r="AP444" s="6"/>
      <c r="AQ444" s="7"/>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6"/>
      <c r="AC445" s="6"/>
      <c r="AD445" s="6"/>
      <c r="AE445" s="6"/>
      <c r="AF445" s="6"/>
      <c r="AG445" s="6"/>
      <c r="AH445" s="6"/>
      <c r="AI445" s="6"/>
      <c r="AJ445" s="6"/>
      <c r="AK445" s="6"/>
      <c r="AL445" s="6"/>
      <c r="AM445" s="6"/>
      <c r="AN445" s="6"/>
      <c r="AO445" s="6"/>
      <c r="AP445" s="6"/>
      <c r="AQ445" s="7"/>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6"/>
      <c r="AC446" s="6"/>
      <c r="AD446" s="6"/>
      <c r="AE446" s="6"/>
      <c r="AF446" s="6"/>
      <c r="AG446" s="6"/>
      <c r="AH446" s="6"/>
      <c r="AI446" s="6"/>
      <c r="AJ446" s="6"/>
      <c r="AK446" s="6"/>
      <c r="AL446" s="6"/>
      <c r="AM446" s="6"/>
      <c r="AN446" s="6"/>
      <c r="AO446" s="6"/>
      <c r="AP446" s="6"/>
      <c r="AQ446" s="7"/>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6"/>
      <c r="AC447" s="6"/>
      <c r="AD447" s="6"/>
      <c r="AE447" s="6"/>
      <c r="AF447" s="6"/>
      <c r="AG447" s="6"/>
      <c r="AH447" s="6"/>
      <c r="AI447" s="6"/>
      <c r="AJ447" s="6"/>
      <c r="AK447" s="6"/>
      <c r="AL447" s="6"/>
      <c r="AM447" s="6"/>
      <c r="AN447" s="6"/>
      <c r="AO447" s="6"/>
      <c r="AP447" s="6"/>
      <c r="AQ447" s="7"/>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6"/>
      <c r="AC448" s="6"/>
      <c r="AD448" s="6"/>
      <c r="AE448" s="6"/>
      <c r="AF448" s="6"/>
      <c r="AG448" s="6"/>
      <c r="AH448" s="6"/>
      <c r="AI448" s="6"/>
      <c r="AJ448" s="6"/>
      <c r="AK448" s="6"/>
      <c r="AL448" s="6"/>
      <c r="AM448" s="6"/>
      <c r="AN448" s="6"/>
      <c r="AO448" s="6"/>
      <c r="AP448" s="6"/>
      <c r="AQ448" s="7"/>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6"/>
      <c r="AC449" s="6"/>
      <c r="AD449" s="6"/>
      <c r="AE449" s="6"/>
      <c r="AF449" s="6"/>
      <c r="AG449" s="6"/>
      <c r="AH449" s="6"/>
      <c r="AI449" s="6"/>
      <c r="AJ449" s="6"/>
      <c r="AK449" s="6"/>
      <c r="AL449" s="6"/>
      <c r="AM449" s="6"/>
      <c r="AN449" s="6"/>
      <c r="AO449" s="6"/>
      <c r="AP449" s="6"/>
      <c r="AQ449" s="7"/>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6"/>
      <c r="AC450" s="6"/>
      <c r="AD450" s="6"/>
      <c r="AE450" s="6"/>
      <c r="AF450" s="6"/>
      <c r="AG450" s="6"/>
      <c r="AH450" s="6"/>
      <c r="AI450" s="6"/>
      <c r="AJ450" s="6"/>
      <c r="AK450" s="6"/>
      <c r="AL450" s="6"/>
      <c r="AM450" s="6"/>
      <c r="AN450" s="6"/>
      <c r="AO450" s="6"/>
      <c r="AP450" s="6"/>
      <c r="AQ450" s="7"/>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6"/>
      <c r="AC451" s="6"/>
      <c r="AD451" s="6"/>
      <c r="AE451" s="6"/>
      <c r="AF451" s="6"/>
      <c r="AG451" s="6"/>
      <c r="AH451" s="6"/>
      <c r="AI451" s="6"/>
      <c r="AJ451" s="6"/>
      <c r="AK451" s="6"/>
      <c r="AL451" s="6"/>
      <c r="AM451" s="6"/>
      <c r="AN451" s="6"/>
      <c r="AO451" s="6"/>
      <c r="AP451" s="6"/>
      <c r="AQ451" s="7"/>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6"/>
      <c r="AC452" s="6"/>
      <c r="AD452" s="6"/>
      <c r="AE452" s="6"/>
      <c r="AF452" s="6"/>
      <c r="AG452" s="6"/>
      <c r="AH452" s="6"/>
      <c r="AI452" s="6"/>
      <c r="AJ452" s="6"/>
      <c r="AK452" s="6"/>
      <c r="AL452" s="6"/>
      <c r="AM452" s="6"/>
      <c r="AN452" s="6"/>
      <c r="AO452" s="6"/>
      <c r="AP452" s="6"/>
      <c r="AQ452" s="7"/>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6"/>
      <c r="AC453" s="6"/>
      <c r="AD453" s="6"/>
      <c r="AE453" s="6"/>
      <c r="AF453" s="6"/>
      <c r="AG453" s="6"/>
      <c r="AH453" s="6"/>
      <c r="AI453" s="6"/>
      <c r="AJ453" s="6"/>
      <c r="AK453" s="6"/>
      <c r="AL453" s="6"/>
      <c r="AM453" s="6"/>
      <c r="AN453" s="6"/>
      <c r="AO453" s="6"/>
      <c r="AP453" s="6"/>
      <c r="AQ453" s="7"/>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6"/>
      <c r="AC454" s="6"/>
      <c r="AD454" s="6"/>
      <c r="AE454" s="6"/>
      <c r="AF454" s="6"/>
      <c r="AG454" s="6"/>
      <c r="AH454" s="6"/>
      <c r="AI454" s="6"/>
      <c r="AJ454" s="6"/>
      <c r="AK454" s="6"/>
      <c r="AL454" s="6"/>
      <c r="AM454" s="6"/>
      <c r="AN454" s="6"/>
      <c r="AO454" s="6"/>
      <c r="AP454" s="6"/>
      <c r="AQ454" s="7"/>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6"/>
      <c r="AC455" s="6"/>
      <c r="AD455" s="6"/>
      <c r="AE455" s="6"/>
      <c r="AF455" s="6"/>
      <c r="AG455" s="6"/>
      <c r="AH455" s="6"/>
      <c r="AI455" s="6"/>
      <c r="AJ455" s="6"/>
      <c r="AK455" s="6"/>
      <c r="AL455" s="6"/>
      <c r="AM455" s="6"/>
      <c r="AN455" s="6"/>
      <c r="AO455" s="6"/>
      <c r="AP455" s="6"/>
      <c r="AQ455" s="7"/>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6"/>
      <c r="AC456" s="6"/>
      <c r="AD456" s="6"/>
      <c r="AE456" s="6"/>
      <c r="AF456" s="6"/>
      <c r="AG456" s="6"/>
      <c r="AH456" s="6"/>
      <c r="AI456" s="6"/>
      <c r="AJ456" s="6"/>
      <c r="AK456" s="6"/>
      <c r="AL456" s="6"/>
      <c r="AM456" s="6"/>
      <c r="AN456" s="6"/>
      <c r="AO456" s="6"/>
      <c r="AP456" s="6"/>
      <c r="AQ456" s="7"/>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6"/>
      <c r="AC457" s="6"/>
      <c r="AD457" s="6"/>
      <c r="AE457" s="6"/>
      <c r="AF457" s="6"/>
      <c r="AG457" s="6"/>
      <c r="AH457" s="6"/>
      <c r="AI457" s="6"/>
      <c r="AJ457" s="6"/>
      <c r="AK457" s="6"/>
      <c r="AL457" s="6"/>
      <c r="AM457" s="6"/>
      <c r="AN457" s="6"/>
      <c r="AO457" s="6"/>
      <c r="AP457" s="6"/>
      <c r="AQ457" s="7"/>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6"/>
      <c r="AC458" s="6"/>
      <c r="AD458" s="6"/>
      <c r="AE458" s="6"/>
      <c r="AF458" s="6"/>
      <c r="AG458" s="6"/>
      <c r="AH458" s="6"/>
      <c r="AI458" s="6"/>
      <c r="AJ458" s="6"/>
      <c r="AK458" s="6"/>
      <c r="AL458" s="6"/>
      <c r="AM458" s="6"/>
      <c r="AN458" s="6"/>
      <c r="AO458" s="6"/>
      <c r="AP458" s="6"/>
      <c r="AQ458" s="7"/>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6"/>
      <c r="AC459" s="6"/>
      <c r="AD459" s="6"/>
      <c r="AE459" s="6"/>
      <c r="AF459" s="6"/>
      <c r="AG459" s="6"/>
      <c r="AH459" s="6"/>
      <c r="AI459" s="6"/>
      <c r="AJ459" s="6"/>
      <c r="AK459" s="6"/>
      <c r="AL459" s="6"/>
      <c r="AM459" s="6"/>
      <c r="AN459" s="6"/>
      <c r="AO459" s="6"/>
      <c r="AP459" s="6"/>
      <c r="AQ459" s="7"/>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6"/>
      <c r="AC460" s="6"/>
      <c r="AD460" s="6"/>
      <c r="AE460" s="6"/>
      <c r="AF460" s="6"/>
      <c r="AG460" s="6"/>
      <c r="AH460" s="6"/>
      <c r="AI460" s="6"/>
      <c r="AJ460" s="6"/>
      <c r="AK460" s="6"/>
      <c r="AL460" s="6"/>
      <c r="AM460" s="6"/>
      <c r="AN460" s="6"/>
      <c r="AO460" s="6"/>
      <c r="AP460" s="6"/>
      <c r="AQ460" s="7"/>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6"/>
      <c r="AC461" s="6"/>
      <c r="AD461" s="6"/>
      <c r="AE461" s="6"/>
      <c r="AF461" s="6"/>
      <c r="AG461" s="6"/>
      <c r="AH461" s="6"/>
      <c r="AI461" s="6"/>
      <c r="AJ461" s="6"/>
      <c r="AK461" s="6"/>
      <c r="AL461" s="6"/>
      <c r="AM461" s="6"/>
      <c r="AN461" s="6"/>
      <c r="AO461" s="6"/>
      <c r="AP461" s="6"/>
      <c r="AQ461" s="7"/>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6"/>
      <c r="AC462" s="6"/>
      <c r="AD462" s="6"/>
      <c r="AE462" s="6"/>
      <c r="AF462" s="6"/>
      <c r="AG462" s="6"/>
      <c r="AH462" s="6"/>
      <c r="AI462" s="6"/>
      <c r="AJ462" s="6"/>
      <c r="AK462" s="6"/>
      <c r="AL462" s="6"/>
      <c r="AM462" s="6"/>
      <c r="AN462" s="6"/>
      <c r="AO462" s="6"/>
      <c r="AP462" s="6"/>
      <c r="AQ462" s="7"/>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6"/>
      <c r="AC463" s="6"/>
      <c r="AD463" s="6"/>
      <c r="AE463" s="6"/>
      <c r="AF463" s="6"/>
      <c r="AG463" s="6"/>
      <c r="AH463" s="6"/>
      <c r="AI463" s="6"/>
      <c r="AJ463" s="6"/>
      <c r="AK463" s="6"/>
      <c r="AL463" s="6"/>
      <c r="AM463" s="6"/>
      <c r="AN463" s="6"/>
      <c r="AO463" s="6"/>
      <c r="AP463" s="6"/>
      <c r="AQ463" s="7"/>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6"/>
      <c r="AC464" s="6"/>
      <c r="AD464" s="6"/>
      <c r="AE464" s="6"/>
      <c r="AF464" s="6"/>
      <c r="AG464" s="6"/>
      <c r="AH464" s="6"/>
      <c r="AI464" s="6"/>
      <c r="AJ464" s="6"/>
      <c r="AK464" s="6"/>
      <c r="AL464" s="6"/>
      <c r="AM464" s="6"/>
      <c r="AN464" s="6"/>
      <c r="AO464" s="6"/>
      <c r="AP464" s="6"/>
      <c r="AQ464" s="7"/>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6"/>
      <c r="AC465" s="6"/>
      <c r="AD465" s="6"/>
      <c r="AE465" s="6"/>
      <c r="AF465" s="6"/>
      <c r="AG465" s="6"/>
      <c r="AH465" s="6"/>
      <c r="AI465" s="6"/>
      <c r="AJ465" s="6"/>
      <c r="AK465" s="6"/>
      <c r="AL465" s="6"/>
      <c r="AM465" s="6"/>
      <c r="AN465" s="6"/>
      <c r="AO465" s="6"/>
      <c r="AP465" s="6"/>
      <c r="AQ465" s="7"/>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6"/>
      <c r="AC466" s="6"/>
      <c r="AD466" s="6"/>
      <c r="AE466" s="6"/>
      <c r="AF466" s="6"/>
      <c r="AG466" s="6"/>
      <c r="AH466" s="6"/>
      <c r="AI466" s="6"/>
      <c r="AJ466" s="6"/>
      <c r="AK466" s="6"/>
      <c r="AL466" s="6"/>
      <c r="AM466" s="6"/>
      <c r="AN466" s="6"/>
      <c r="AO466" s="6"/>
      <c r="AP466" s="6"/>
      <c r="AQ466" s="7"/>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6"/>
      <c r="AC467" s="6"/>
      <c r="AD467" s="6"/>
      <c r="AE467" s="6"/>
      <c r="AF467" s="6"/>
      <c r="AG467" s="6"/>
      <c r="AH467" s="6"/>
      <c r="AI467" s="6"/>
      <c r="AJ467" s="6"/>
      <c r="AK467" s="6"/>
      <c r="AL467" s="6"/>
      <c r="AM467" s="6"/>
      <c r="AN467" s="6"/>
      <c r="AO467" s="6"/>
      <c r="AP467" s="6"/>
      <c r="AQ467" s="7"/>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6"/>
      <c r="AC468" s="6"/>
      <c r="AD468" s="6"/>
      <c r="AE468" s="6"/>
      <c r="AF468" s="6"/>
      <c r="AG468" s="6"/>
      <c r="AH468" s="6"/>
      <c r="AI468" s="6"/>
      <c r="AJ468" s="6"/>
      <c r="AK468" s="6"/>
      <c r="AL468" s="6"/>
      <c r="AM468" s="6"/>
      <c r="AN468" s="6"/>
      <c r="AO468" s="6"/>
      <c r="AP468" s="6"/>
      <c r="AQ468" s="7"/>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6"/>
      <c r="AC469" s="6"/>
      <c r="AD469" s="6"/>
      <c r="AE469" s="6"/>
      <c r="AF469" s="6"/>
      <c r="AG469" s="6"/>
      <c r="AH469" s="6"/>
      <c r="AI469" s="6"/>
      <c r="AJ469" s="6"/>
      <c r="AK469" s="6"/>
      <c r="AL469" s="6"/>
      <c r="AM469" s="6"/>
      <c r="AN469" s="6"/>
      <c r="AO469" s="6"/>
      <c r="AP469" s="6"/>
      <c r="AQ469" s="7"/>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6"/>
      <c r="AC470" s="6"/>
      <c r="AD470" s="6"/>
      <c r="AE470" s="6"/>
      <c r="AF470" s="6"/>
      <c r="AG470" s="6"/>
      <c r="AH470" s="6"/>
      <c r="AI470" s="6"/>
      <c r="AJ470" s="6"/>
      <c r="AK470" s="6"/>
      <c r="AL470" s="6"/>
      <c r="AM470" s="6"/>
      <c r="AN470" s="6"/>
      <c r="AO470" s="6"/>
      <c r="AP470" s="6"/>
      <c r="AQ470" s="7"/>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6"/>
      <c r="AC471" s="6"/>
      <c r="AD471" s="6"/>
      <c r="AE471" s="6"/>
      <c r="AF471" s="6"/>
      <c r="AG471" s="6"/>
      <c r="AH471" s="6"/>
      <c r="AI471" s="6"/>
      <c r="AJ471" s="6"/>
      <c r="AK471" s="6"/>
      <c r="AL471" s="6"/>
      <c r="AM471" s="6"/>
      <c r="AN471" s="6"/>
      <c r="AO471" s="6"/>
      <c r="AP471" s="6"/>
      <c r="AQ471" s="7"/>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6"/>
      <c r="AC472" s="6"/>
      <c r="AD472" s="6"/>
      <c r="AE472" s="6"/>
      <c r="AF472" s="6"/>
      <c r="AG472" s="6"/>
      <c r="AH472" s="6"/>
      <c r="AI472" s="6"/>
      <c r="AJ472" s="6"/>
      <c r="AK472" s="6"/>
      <c r="AL472" s="6"/>
      <c r="AM472" s="6"/>
      <c r="AN472" s="6"/>
      <c r="AO472" s="6"/>
      <c r="AP472" s="6"/>
      <c r="AQ472" s="7"/>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6"/>
      <c r="AC473" s="6"/>
      <c r="AD473" s="6"/>
      <c r="AE473" s="6"/>
      <c r="AF473" s="6"/>
      <c r="AG473" s="6"/>
      <c r="AH473" s="6"/>
      <c r="AI473" s="6"/>
      <c r="AJ473" s="6"/>
      <c r="AK473" s="6"/>
      <c r="AL473" s="6"/>
      <c r="AM473" s="6"/>
      <c r="AN473" s="6"/>
      <c r="AO473" s="6"/>
      <c r="AP473" s="6"/>
      <c r="AQ473" s="7"/>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6"/>
      <c r="AC474" s="6"/>
      <c r="AD474" s="6"/>
      <c r="AE474" s="6"/>
      <c r="AF474" s="6"/>
      <c r="AG474" s="6"/>
      <c r="AH474" s="6"/>
      <c r="AI474" s="6"/>
      <c r="AJ474" s="6"/>
      <c r="AK474" s="6"/>
      <c r="AL474" s="6"/>
      <c r="AM474" s="6"/>
      <c r="AN474" s="6"/>
      <c r="AO474" s="6"/>
      <c r="AP474" s="6"/>
      <c r="AQ474" s="7"/>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6"/>
      <c r="AC475" s="6"/>
      <c r="AD475" s="6"/>
      <c r="AE475" s="6"/>
      <c r="AF475" s="6"/>
      <c r="AG475" s="6"/>
      <c r="AH475" s="6"/>
      <c r="AI475" s="6"/>
      <c r="AJ475" s="6"/>
      <c r="AK475" s="6"/>
      <c r="AL475" s="6"/>
      <c r="AM475" s="6"/>
      <c r="AN475" s="6"/>
      <c r="AO475" s="6"/>
      <c r="AP475" s="6"/>
      <c r="AQ475" s="7"/>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6"/>
      <c r="AC476" s="6"/>
      <c r="AD476" s="6"/>
      <c r="AE476" s="6"/>
      <c r="AF476" s="6"/>
      <c r="AG476" s="6"/>
      <c r="AH476" s="6"/>
      <c r="AI476" s="6"/>
      <c r="AJ476" s="6"/>
      <c r="AK476" s="6"/>
      <c r="AL476" s="6"/>
      <c r="AM476" s="6"/>
      <c r="AN476" s="6"/>
      <c r="AO476" s="6"/>
      <c r="AP476" s="6"/>
      <c r="AQ476" s="7"/>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6"/>
      <c r="AC477" s="6"/>
      <c r="AD477" s="6"/>
      <c r="AE477" s="6"/>
      <c r="AF477" s="6"/>
      <c r="AG477" s="6"/>
      <c r="AH477" s="6"/>
      <c r="AI477" s="6"/>
      <c r="AJ477" s="6"/>
      <c r="AK477" s="6"/>
      <c r="AL477" s="6"/>
      <c r="AM477" s="6"/>
      <c r="AN477" s="6"/>
      <c r="AO477" s="6"/>
      <c r="AP477" s="6"/>
      <c r="AQ477" s="7"/>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6"/>
      <c r="AC478" s="6"/>
      <c r="AD478" s="6"/>
      <c r="AE478" s="6"/>
      <c r="AF478" s="6"/>
      <c r="AG478" s="6"/>
      <c r="AH478" s="6"/>
      <c r="AI478" s="6"/>
      <c r="AJ478" s="6"/>
      <c r="AK478" s="6"/>
      <c r="AL478" s="6"/>
      <c r="AM478" s="6"/>
      <c r="AN478" s="6"/>
      <c r="AO478" s="6"/>
      <c r="AP478" s="6"/>
      <c r="AQ478" s="7"/>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6"/>
      <c r="AC479" s="6"/>
      <c r="AD479" s="6"/>
      <c r="AE479" s="6"/>
      <c r="AF479" s="6"/>
      <c r="AG479" s="6"/>
      <c r="AH479" s="6"/>
      <c r="AI479" s="6"/>
      <c r="AJ479" s="6"/>
      <c r="AK479" s="6"/>
      <c r="AL479" s="6"/>
      <c r="AM479" s="6"/>
      <c r="AN479" s="6"/>
      <c r="AO479" s="6"/>
      <c r="AP479" s="6"/>
      <c r="AQ479" s="7"/>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6"/>
      <c r="AC480" s="6"/>
      <c r="AD480" s="6"/>
      <c r="AE480" s="6"/>
      <c r="AF480" s="6"/>
      <c r="AG480" s="6"/>
      <c r="AH480" s="6"/>
      <c r="AI480" s="6"/>
      <c r="AJ480" s="6"/>
      <c r="AK480" s="6"/>
      <c r="AL480" s="6"/>
      <c r="AM480" s="6"/>
      <c r="AN480" s="6"/>
      <c r="AO480" s="6"/>
      <c r="AP480" s="6"/>
      <c r="AQ480" s="7"/>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6"/>
      <c r="AC481" s="6"/>
      <c r="AD481" s="6"/>
      <c r="AE481" s="6"/>
      <c r="AF481" s="6"/>
      <c r="AG481" s="6"/>
      <c r="AH481" s="6"/>
      <c r="AI481" s="6"/>
      <c r="AJ481" s="6"/>
      <c r="AK481" s="6"/>
      <c r="AL481" s="6"/>
      <c r="AM481" s="6"/>
      <c r="AN481" s="6"/>
      <c r="AO481" s="6"/>
      <c r="AP481" s="6"/>
      <c r="AQ481" s="7"/>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6"/>
      <c r="AC482" s="6"/>
      <c r="AD482" s="6"/>
      <c r="AE482" s="6"/>
      <c r="AF482" s="6"/>
      <c r="AG482" s="6"/>
      <c r="AH482" s="6"/>
      <c r="AI482" s="6"/>
      <c r="AJ482" s="6"/>
      <c r="AK482" s="6"/>
      <c r="AL482" s="6"/>
      <c r="AM482" s="6"/>
      <c r="AN482" s="6"/>
      <c r="AO482" s="6"/>
      <c r="AP482" s="6"/>
      <c r="AQ482" s="7"/>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6"/>
      <c r="AC483" s="6"/>
      <c r="AD483" s="6"/>
      <c r="AE483" s="6"/>
      <c r="AF483" s="6"/>
      <c r="AG483" s="6"/>
      <c r="AH483" s="6"/>
      <c r="AI483" s="6"/>
      <c r="AJ483" s="6"/>
      <c r="AK483" s="6"/>
      <c r="AL483" s="6"/>
      <c r="AM483" s="6"/>
      <c r="AN483" s="6"/>
      <c r="AO483" s="6"/>
      <c r="AP483" s="6"/>
      <c r="AQ483" s="7"/>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6"/>
      <c r="AC484" s="6"/>
      <c r="AD484" s="6"/>
      <c r="AE484" s="6"/>
      <c r="AF484" s="6"/>
      <c r="AG484" s="6"/>
      <c r="AH484" s="6"/>
      <c r="AI484" s="6"/>
      <c r="AJ484" s="6"/>
      <c r="AK484" s="6"/>
      <c r="AL484" s="6"/>
      <c r="AM484" s="6"/>
      <c r="AN484" s="6"/>
      <c r="AO484" s="6"/>
      <c r="AP484" s="6"/>
      <c r="AQ484" s="7"/>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6"/>
      <c r="AC485" s="6"/>
      <c r="AD485" s="6"/>
      <c r="AE485" s="6"/>
      <c r="AF485" s="6"/>
      <c r="AG485" s="6"/>
      <c r="AH485" s="6"/>
      <c r="AI485" s="6"/>
      <c r="AJ485" s="6"/>
      <c r="AK485" s="6"/>
      <c r="AL485" s="6"/>
      <c r="AM485" s="6"/>
      <c r="AN485" s="6"/>
      <c r="AO485" s="6"/>
      <c r="AP485" s="6"/>
      <c r="AQ485" s="7"/>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6"/>
      <c r="AC486" s="6"/>
      <c r="AD486" s="6"/>
      <c r="AE486" s="6"/>
      <c r="AF486" s="6"/>
      <c r="AG486" s="6"/>
      <c r="AH486" s="6"/>
      <c r="AI486" s="6"/>
      <c r="AJ486" s="6"/>
      <c r="AK486" s="6"/>
      <c r="AL486" s="6"/>
      <c r="AM486" s="6"/>
      <c r="AN486" s="6"/>
      <c r="AO486" s="6"/>
      <c r="AP486" s="6"/>
      <c r="AQ486" s="7"/>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6"/>
      <c r="AC487" s="6"/>
      <c r="AD487" s="6"/>
      <c r="AE487" s="6"/>
      <c r="AF487" s="6"/>
      <c r="AG487" s="6"/>
      <c r="AH487" s="6"/>
      <c r="AI487" s="6"/>
      <c r="AJ487" s="6"/>
      <c r="AK487" s="6"/>
      <c r="AL487" s="6"/>
      <c r="AM487" s="6"/>
      <c r="AN487" s="6"/>
      <c r="AO487" s="6"/>
      <c r="AP487" s="6"/>
      <c r="AQ487" s="7"/>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6"/>
      <c r="AC488" s="6"/>
      <c r="AD488" s="6"/>
      <c r="AE488" s="6"/>
      <c r="AF488" s="6"/>
      <c r="AG488" s="6"/>
      <c r="AH488" s="6"/>
      <c r="AI488" s="6"/>
      <c r="AJ488" s="6"/>
      <c r="AK488" s="6"/>
      <c r="AL488" s="6"/>
      <c r="AM488" s="6"/>
      <c r="AN488" s="6"/>
      <c r="AO488" s="6"/>
      <c r="AP488" s="6"/>
      <c r="AQ488" s="7"/>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6"/>
      <c r="AC489" s="6"/>
      <c r="AD489" s="6"/>
      <c r="AE489" s="6"/>
      <c r="AF489" s="6"/>
      <c r="AG489" s="6"/>
      <c r="AH489" s="6"/>
      <c r="AI489" s="6"/>
      <c r="AJ489" s="6"/>
      <c r="AK489" s="6"/>
      <c r="AL489" s="6"/>
      <c r="AM489" s="6"/>
      <c r="AN489" s="6"/>
      <c r="AO489" s="6"/>
      <c r="AP489" s="6"/>
      <c r="AQ489" s="7"/>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6"/>
      <c r="AC490" s="6"/>
      <c r="AD490" s="6"/>
      <c r="AE490" s="6"/>
      <c r="AF490" s="6"/>
      <c r="AG490" s="6"/>
      <c r="AH490" s="6"/>
      <c r="AI490" s="6"/>
      <c r="AJ490" s="6"/>
      <c r="AK490" s="6"/>
      <c r="AL490" s="6"/>
      <c r="AM490" s="6"/>
      <c r="AN490" s="6"/>
      <c r="AO490" s="6"/>
      <c r="AP490" s="6"/>
      <c r="AQ490" s="7"/>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6"/>
      <c r="AC491" s="6"/>
      <c r="AD491" s="6"/>
      <c r="AE491" s="6"/>
      <c r="AF491" s="6"/>
      <c r="AG491" s="6"/>
      <c r="AH491" s="6"/>
      <c r="AI491" s="6"/>
      <c r="AJ491" s="6"/>
      <c r="AK491" s="6"/>
      <c r="AL491" s="6"/>
      <c r="AM491" s="6"/>
      <c r="AN491" s="6"/>
      <c r="AO491" s="6"/>
      <c r="AP491" s="6"/>
      <c r="AQ491" s="7"/>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6"/>
      <c r="AC492" s="6"/>
      <c r="AD492" s="6"/>
      <c r="AE492" s="6"/>
      <c r="AF492" s="6"/>
      <c r="AG492" s="6"/>
      <c r="AH492" s="6"/>
      <c r="AI492" s="6"/>
      <c r="AJ492" s="6"/>
      <c r="AK492" s="6"/>
      <c r="AL492" s="6"/>
      <c r="AM492" s="6"/>
      <c r="AN492" s="6"/>
      <c r="AO492" s="6"/>
      <c r="AP492" s="6"/>
      <c r="AQ492" s="7"/>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6"/>
      <c r="AC493" s="6"/>
      <c r="AD493" s="6"/>
      <c r="AE493" s="6"/>
      <c r="AF493" s="6"/>
      <c r="AG493" s="6"/>
      <c r="AH493" s="6"/>
      <c r="AI493" s="6"/>
      <c r="AJ493" s="6"/>
      <c r="AK493" s="6"/>
      <c r="AL493" s="6"/>
      <c r="AM493" s="6"/>
      <c r="AN493" s="6"/>
      <c r="AO493" s="6"/>
      <c r="AP493" s="6"/>
      <c r="AQ493" s="7"/>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6"/>
      <c r="AC494" s="6"/>
      <c r="AD494" s="6"/>
      <c r="AE494" s="6"/>
      <c r="AF494" s="6"/>
      <c r="AG494" s="6"/>
      <c r="AH494" s="6"/>
      <c r="AI494" s="6"/>
      <c r="AJ494" s="6"/>
      <c r="AK494" s="6"/>
      <c r="AL494" s="6"/>
      <c r="AM494" s="6"/>
      <c r="AN494" s="6"/>
      <c r="AO494" s="6"/>
      <c r="AP494" s="6"/>
      <c r="AQ494" s="7"/>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6"/>
      <c r="AC495" s="6"/>
      <c r="AD495" s="6"/>
      <c r="AE495" s="6"/>
      <c r="AF495" s="6"/>
      <c r="AG495" s="6"/>
      <c r="AH495" s="6"/>
      <c r="AI495" s="6"/>
      <c r="AJ495" s="6"/>
      <c r="AK495" s="6"/>
      <c r="AL495" s="6"/>
      <c r="AM495" s="6"/>
      <c r="AN495" s="6"/>
      <c r="AO495" s="6"/>
      <c r="AP495" s="6"/>
      <c r="AQ495" s="7"/>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6"/>
      <c r="AC496" s="6"/>
      <c r="AD496" s="6"/>
      <c r="AE496" s="6"/>
      <c r="AF496" s="6"/>
      <c r="AG496" s="6"/>
      <c r="AH496" s="6"/>
      <c r="AI496" s="6"/>
      <c r="AJ496" s="6"/>
      <c r="AK496" s="6"/>
      <c r="AL496" s="6"/>
      <c r="AM496" s="6"/>
      <c r="AN496" s="6"/>
      <c r="AO496" s="6"/>
      <c r="AP496" s="6"/>
      <c r="AQ496" s="7"/>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6"/>
      <c r="AC497" s="6"/>
      <c r="AD497" s="6"/>
      <c r="AE497" s="6"/>
      <c r="AF497" s="6"/>
      <c r="AG497" s="6"/>
      <c r="AH497" s="6"/>
      <c r="AI497" s="6"/>
      <c r="AJ497" s="6"/>
      <c r="AK497" s="6"/>
      <c r="AL497" s="6"/>
      <c r="AM497" s="6"/>
      <c r="AN497" s="6"/>
      <c r="AO497" s="6"/>
      <c r="AP497" s="6"/>
      <c r="AQ497" s="7"/>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6"/>
      <c r="AC498" s="6"/>
      <c r="AD498" s="6"/>
      <c r="AE498" s="6"/>
      <c r="AF498" s="6"/>
      <c r="AG498" s="6"/>
      <c r="AH498" s="6"/>
      <c r="AI498" s="6"/>
      <c r="AJ498" s="6"/>
      <c r="AK498" s="6"/>
      <c r="AL498" s="6"/>
      <c r="AM498" s="6"/>
      <c r="AN498" s="6"/>
      <c r="AO498" s="6"/>
      <c r="AP498" s="6"/>
      <c r="AQ498" s="7"/>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6"/>
      <c r="AC499" s="6"/>
      <c r="AD499" s="6"/>
      <c r="AE499" s="6"/>
      <c r="AF499" s="6"/>
      <c r="AG499" s="6"/>
      <c r="AH499" s="6"/>
      <c r="AI499" s="6"/>
      <c r="AJ499" s="6"/>
      <c r="AK499" s="6"/>
      <c r="AL499" s="6"/>
      <c r="AM499" s="6"/>
      <c r="AN499" s="6"/>
      <c r="AO499" s="6"/>
      <c r="AP499" s="6"/>
      <c r="AQ499" s="7"/>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6"/>
      <c r="AC500" s="6"/>
      <c r="AD500" s="6"/>
      <c r="AE500" s="6"/>
      <c r="AF500" s="6"/>
      <c r="AG500" s="6"/>
      <c r="AH500" s="6"/>
      <c r="AI500" s="6"/>
      <c r="AJ500" s="6"/>
      <c r="AK500" s="6"/>
      <c r="AL500" s="6"/>
      <c r="AM500" s="6"/>
      <c r="AN500" s="6"/>
      <c r="AO500" s="6"/>
      <c r="AP500" s="6"/>
      <c r="AQ500" s="7"/>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6"/>
      <c r="AC501" s="6"/>
      <c r="AD501" s="6"/>
      <c r="AE501" s="6"/>
      <c r="AF501" s="6"/>
      <c r="AG501" s="6"/>
      <c r="AH501" s="6"/>
      <c r="AI501" s="6"/>
      <c r="AJ501" s="6"/>
      <c r="AK501" s="6"/>
      <c r="AL501" s="6"/>
      <c r="AM501" s="6"/>
      <c r="AN501" s="6"/>
      <c r="AO501" s="6"/>
      <c r="AP501" s="6"/>
      <c r="AQ501" s="7"/>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6"/>
      <c r="AC502" s="6"/>
      <c r="AD502" s="6"/>
      <c r="AE502" s="6"/>
      <c r="AF502" s="6"/>
      <c r="AG502" s="6"/>
      <c r="AH502" s="6"/>
      <c r="AI502" s="6"/>
      <c r="AJ502" s="6"/>
      <c r="AK502" s="6"/>
      <c r="AL502" s="6"/>
      <c r="AM502" s="6"/>
      <c r="AN502" s="6"/>
      <c r="AO502" s="6"/>
      <c r="AP502" s="6"/>
      <c r="AQ502" s="7"/>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6"/>
      <c r="AC503" s="6"/>
      <c r="AD503" s="6"/>
      <c r="AE503" s="6"/>
      <c r="AF503" s="6"/>
      <c r="AG503" s="6"/>
      <c r="AH503" s="6"/>
      <c r="AI503" s="6"/>
      <c r="AJ503" s="6"/>
      <c r="AK503" s="6"/>
      <c r="AL503" s="6"/>
      <c r="AM503" s="6"/>
      <c r="AN503" s="6"/>
      <c r="AO503" s="6"/>
      <c r="AP503" s="6"/>
      <c r="AQ503" s="7"/>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6"/>
      <c r="AC504" s="6"/>
      <c r="AD504" s="6"/>
      <c r="AE504" s="6"/>
      <c r="AF504" s="6"/>
      <c r="AG504" s="6"/>
      <c r="AH504" s="6"/>
      <c r="AI504" s="6"/>
      <c r="AJ504" s="6"/>
      <c r="AK504" s="6"/>
      <c r="AL504" s="6"/>
      <c r="AM504" s="6"/>
      <c r="AN504" s="6"/>
      <c r="AO504" s="6"/>
      <c r="AP504" s="6"/>
      <c r="AQ504" s="7"/>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6"/>
      <c r="AC505" s="6"/>
      <c r="AD505" s="6"/>
      <c r="AE505" s="6"/>
      <c r="AF505" s="6"/>
      <c r="AG505" s="6"/>
      <c r="AH505" s="6"/>
      <c r="AI505" s="6"/>
      <c r="AJ505" s="6"/>
      <c r="AK505" s="6"/>
      <c r="AL505" s="6"/>
      <c r="AM505" s="6"/>
      <c r="AN505" s="6"/>
      <c r="AO505" s="6"/>
      <c r="AP505" s="6"/>
      <c r="AQ505" s="7"/>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6"/>
      <c r="AC506" s="6"/>
      <c r="AD506" s="6"/>
      <c r="AE506" s="6"/>
      <c r="AF506" s="6"/>
      <c r="AG506" s="6"/>
      <c r="AH506" s="6"/>
      <c r="AI506" s="6"/>
      <c r="AJ506" s="6"/>
      <c r="AK506" s="6"/>
      <c r="AL506" s="6"/>
      <c r="AM506" s="6"/>
      <c r="AN506" s="6"/>
      <c r="AO506" s="6"/>
      <c r="AP506" s="6"/>
      <c r="AQ506" s="7"/>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6"/>
      <c r="AC507" s="6"/>
      <c r="AD507" s="6"/>
      <c r="AE507" s="6"/>
      <c r="AF507" s="6"/>
      <c r="AG507" s="6"/>
      <c r="AH507" s="6"/>
      <c r="AI507" s="6"/>
      <c r="AJ507" s="6"/>
      <c r="AK507" s="6"/>
      <c r="AL507" s="6"/>
      <c r="AM507" s="6"/>
      <c r="AN507" s="6"/>
      <c r="AO507" s="6"/>
      <c r="AP507" s="6"/>
      <c r="AQ507" s="7"/>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6"/>
      <c r="AC508" s="6"/>
      <c r="AD508" s="6"/>
      <c r="AE508" s="6"/>
      <c r="AF508" s="6"/>
      <c r="AG508" s="6"/>
      <c r="AH508" s="6"/>
      <c r="AI508" s="6"/>
      <c r="AJ508" s="6"/>
      <c r="AK508" s="6"/>
      <c r="AL508" s="6"/>
      <c r="AM508" s="6"/>
      <c r="AN508" s="6"/>
      <c r="AO508" s="6"/>
      <c r="AP508" s="6"/>
      <c r="AQ508" s="7"/>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6"/>
      <c r="AC509" s="6"/>
      <c r="AD509" s="6"/>
      <c r="AE509" s="6"/>
      <c r="AF509" s="6"/>
      <c r="AG509" s="6"/>
      <c r="AH509" s="6"/>
      <c r="AI509" s="6"/>
      <c r="AJ509" s="6"/>
      <c r="AK509" s="6"/>
      <c r="AL509" s="6"/>
      <c r="AM509" s="6"/>
      <c r="AN509" s="6"/>
      <c r="AO509" s="6"/>
      <c r="AP509" s="6"/>
      <c r="AQ509" s="7"/>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6"/>
      <c r="AC510" s="6"/>
      <c r="AD510" s="6"/>
      <c r="AE510" s="6"/>
      <c r="AF510" s="6"/>
      <c r="AG510" s="6"/>
      <c r="AH510" s="6"/>
      <c r="AI510" s="6"/>
      <c r="AJ510" s="6"/>
      <c r="AK510" s="6"/>
      <c r="AL510" s="6"/>
      <c r="AM510" s="6"/>
      <c r="AN510" s="6"/>
      <c r="AO510" s="6"/>
      <c r="AP510" s="6"/>
      <c r="AQ510" s="7"/>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6"/>
      <c r="AC511" s="6"/>
      <c r="AD511" s="6"/>
      <c r="AE511" s="6"/>
      <c r="AF511" s="6"/>
      <c r="AG511" s="6"/>
      <c r="AH511" s="6"/>
      <c r="AI511" s="6"/>
      <c r="AJ511" s="6"/>
      <c r="AK511" s="6"/>
      <c r="AL511" s="6"/>
      <c r="AM511" s="6"/>
      <c r="AN511" s="6"/>
      <c r="AO511" s="6"/>
      <c r="AP511" s="6"/>
      <c r="AQ511" s="7"/>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6"/>
      <c r="AC512" s="6"/>
      <c r="AD512" s="6"/>
      <c r="AE512" s="6"/>
      <c r="AF512" s="6"/>
      <c r="AG512" s="6"/>
      <c r="AH512" s="6"/>
      <c r="AI512" s="6"/>
      <c r="AJ512" s="6"/>
      <c r="AK512" s="6"/>
      <c r="AL512" s="6"/>
      <c r="AM512" s="6"/>
      <c r="AN512" s="6"/>
      <c r="AO512" s="6"/>
      <c r="AP512" s="6"/>
      <c r="AQ512" s="7"/>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6"/>
      <c r="AC513" s="6"/>
      <c r="AD513" s="6"/>
      <c r="AE513" s="6"/>
      <c r="AF513" s="6"/>
      <c r="AG513" s="6"/>
      <c r="AH513" s="6"/>
      <c r="AI513" s="6"/>
      <c r="AJ513" s="6"/>
      <c r="AK513" s="6"/>
      <c r="AL513" s="6"/>
      <c r="AM513" s="6"/>
      <c r="AN513" s="6"/>
      <c r="AO513" s="6"/>
      <c r="AP513" s="6"/>
      <c r="AQ513" s="7"/>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6"/>
      <c r="AC514" s="6"/>
      <c r="AD514" s="6"/>
      <c r="AE514" s="6"/>
      <c r="AF514" s="6"/>
      <c r="AG514" s="6"/>
      <c r="AH514" s="6"/>
      <c r="AI514" s="6"/>
      <c r="AJ514" s="6"/>
      <c r="AK514" s="6"/>
      <c r="AL514" s="6"/>
      <c r="AM514" s="6"/>
      <c r="AN514" s="6"/>
      <c r="AO514" s="6"/>
      <c r="AP514" s="6"/>
      <c r="AQ514" s="7"/>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6"/>
      <c r="AC515" s="6"/>
      <c r="AD515" s="6"/>
      <c r="AE515" s="6"/>
      <c r="AF515" s="6"/>
      <c r="AG515" s="6"/>
      <c r="AH515" s="6"/>
      <c r="AI515" s="6"/>
      <c r="AJ515" s="6"/>
      <c r="AK515" s="6"/>
      <c r="AL515" s="6"/>
      <c r="AM515" s="6"/>
      <c r="AN515" s="6"/>
      <c r="AO515" s="6"/>
      <c r="AP515" s="6"/>
      <c r="AQ515" s="7"/>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6"/>
      <c r="AC516" s="6"/>
      <c r="AD516" s="6"/>
      <c r="AE516" s="6"/>
      <c r="AF516" s="6"/>
      <c r="AG516" s="6"/>
      <c r="AH516" s="6"/>
      <c r="AI516" s="6"/>
      <c r="AJ516" s="6"/>
      <c r="AK516" s="6"/>
      <c r="AL516" s="6"/>
      <c r="AM516" s="6"/>
      <c r="AN516" s="6"/>
      <c r="AO516" s="6"/>
      <c r="AP516" s="6"/>
      <c r="AQ516" s="7"/>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6"/>
      <c r="AC517" s="6"/>
      <c r="AD517" s="6"/>
      <c r="AE517" s="6"/>
      <c r="AF517" s="6"/>
      <c r="AG517" s="6"/>
      <c r="AH517" s="6"/>
      <c r="AI517" s="6"/>
      <c r="AJ517" s="6"/>
      <c r="AK517" s="6"/>
      <c r="AL517" s="6"/>
      <c r="AM517" s="6"/>
      <c r="AN517" s="6"/>
      <c r="AO517" s="6"/>
      <c r="AP517" s="6"/>
      <c r="AQ517" s="7"/>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6"/>
      <c r="AC518" s="6"/>
      <c r="AD518" s="6"/>
      <c r="AE518" s="6"/>
      <c r="AF518" s="6"/>
      <c r="AG518" s="6"/>
      <c r="AH518" s="6"/>
      <c r="AI518" s="6"/>
      <c r="AJ518" s="6"/>
      <c r="AK518" s="6"/>
      <c r="AL518" s="6"/>
      <c r="AM518" s="6"/>
      <c r="AN518" s="6"/>
      <c r="AO518" s="6"/>
      <c r="AP518" s="6"/>
      <c r="AQ518" s="7"/>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6"/>
      <c r="AC519" s="6"/>
      <c r="AD519" s="6"/>
      <c r="AE519" s="6"/>
      <c r="AF519" s="6"/>
      <c r="AG519" s="6"/>
      <c r="AH519" s="6"/>
      <c r="AI519" s="6"/>
      <c r="AJ519" s="6"/>
      <c r="AK519" s="6"/>
      <c r="AL519" s="6"/>
      <c r="AM519" s="6"/>
      <c r="AN519" s="6"/>
      <c r="AO519" s="6"/>
      <c r="AP519" s="6"/>
      <c r="AQ519" s="7"/>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6"/>
      <c r="AC520" s="6"/>
      <c r="AD520" s="6"/>
      <c r="AE520" s="6"/>
      <c r="AF520" s="6"/>
      <c r="AG520" s="6"/>
      <c r="AH520" s="6"/>
      <c r="AI520" s="6"/>
      <c r="AJ520" s="6"/>
      <c r="AK520" s="6"/>
      <c r="AL520" s="6"/>
      <c r="AM520" s="6"/>
      <c r="AN520" s="6"/>
      <c r="AO520" s="6"/>
      <c r="AP520" s="6"/>
      <c r="AQ520" s="7"/>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6"/>
      <c r="AC521" s="6"/>
      <c r="AD521" s="6"/>
      <c r="AE521" s="6"/>
      <c r="AF521" s="6"/>
      <c r="AG521" s="6"/>
      <c r="AH521" s="6"/>
      <c r="AI521" s="6"/>
      <c r="AJ521" s="6"/>
      <c r="AK521" s="6"/>
      <c r="AL521" s="6"/>
      <c r="AM521" s="6"/>
      <c r="AN521" s="6"/>
      <c r="AO521" s="6"/>
      <c r="AP521" s="6"/>
      <c r="AQ521" s="7"/>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6"/>
      <c r="AC522" s="6"/>
      <c r="AD522" s="6"/>
      <c r="AE522" s="6"/>
      <c r="AF522" s="6"/>
      <c r="AG522" s="6"/>
      <c r="AH522" s="6"/>
      <c r="AI522" s="6"/>
      <c r="AJ522" s="6"/>
      <c r="AK522" s="6"/>
      <c r="AL522" s="6"/>
      <c r="AM522" s="6"/>
      <c r="AN522" s="6"/>
      <c r="AO522" s="6"/>
      <c r="AP522" s="6"/>
      <c r="AQ522" s="7"/>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6"/>
      <c r="AC523" s="6"/>
      <c r="AD523" s="6"/>
      <c r="AE523" s="6"/>
      <c r="AF523" s="6"/>
      <c r="AG523" s="6"/>
      <c r="AH523" s="6"/>
      <c r="AI523" s="6"/>
      <c r="AJ523" s="6"/>
      <c r="AK523" s="6"/>
      <c r="AL523" s="6"/>
      <c r="AM523" s="6"/>
      <c r="AN523" s="6"/>
      <c r="AO523" s="6"/>
      <c r="AP523" s="6"/>
      <c r="AQ523" s="7"/>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6"/>
      <c r="AC524" s="6"/>
      <c r="AD524" s="6"/>
      <c r="AE524" s="6"/>
      <c r="AF524" s="6"/>
      <c r="AG524" s="6"/>
      <c r="AH524" s="6"/>
      <c r="AI524" s="6"/>
      <c r="AJ524" s="6"/>
      <c r="AK524" s="6"/>
      <c r="AL524" s="6"/>
      <c r="AM524" s="6"/>
      <c r="AN524" s="6"/>
      <c r="AO524" s="6"/>
      <c r="AP524" s="6"/>
      <c r="AQ524" s="7"/>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6"/>
      <c r="AC525" s="6"/>
      <c r="AD525" s="6"/>
      <c r="AE525" s="6"/>
      <c r="AF525" s="6"/>
      <c r="AG525" s="6"/>
      <c r="AH525" s="6"/>
      <c r="AI525" s="6"/>
      <c r="AJ525" s="6"/>
      <c r="AK525" s="6"/>
      <c r="AL525" s="6"/>
      <c r="AM525" s="6"/>
      <c r="AN525" s="6"/>
      <c r="AO525" s="6"/>
      <c r="AP525" s="6"/>
      <c r="AQ525" s="7"/>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6"/>
      <c r="AC526" s="6"/>
      <c r="AD526" s="6"/>
      <c r="AE526" s="6"/>
      <c r="AF526" s="6"/>
      <c r="AG526" s="6"/>
      <c r="AH526" s="6"/>
      <c r="AI526" s="6"/>
      <c r="AJ526" s="6"/>
      <c r="AK526" s="6"/>
      <c r="AL526" s="6"/>
      <c r="AM526" s="6"/>
      <c r="AN526" s="6"/>
      <c r="AO526" s="6"/>
      <c r="AP526" s="6"/>
      <c r="AQ526" s="7"/>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6"/>
      <c r="AC527" s="6"/>
      <c r="AD527" s="6"/>
      <c r="AE527" s="6"/>
      <c r="AF527" s="6"/>
      <c r="AG527" s="6"/>
      <c r="AH527" s="6"/>
      <c r="AI527" s="6"/>
      <c r="AJ527" s="6"/>
      <c r="AK527" s="6"/>
      <c r="AL527" s="6"/>
      <c r="AM527" s="6"/>
      <c r="AN527" s="6"/>
      <c r="AO527" s="6"/>
      <c r="AP527" s="6"/>
      <c r="AQ527" s="7"/>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6"/>
      <c r="AC528" s="6"/>
      <c r="AD528" s="6"/>
      <c r="AE528" s="6"/>
      <c r="AF528" s="6"/>
      <c r="AG528" s="6"/>
      <c r="AH528" s="6"/>
      <c r="AI528" s="6"/>
      <c r="AJ528" s="6"/>
      <c r="AK528" s="6"/>
      <c r="AL528" s="6"/>
      <c r="AM528" s="6"/>
      <c r="AN528" s="6"/>
      <c r="AO528" s="6"/>
      <c r="AP528" s="6"/>
      <c r="AQ528" s="7"/>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6"/>
      <c r="AC529" s="6"/>
      <c r="AD529" s="6"/>
      <c r="AE529" s="6"/>
      <c r="AF529" s="6"/>
      <c r="AG529" s="6"/>
      <c r="AH529" s="6"/>
      <c r="AI529" s="6"/>
      <c r="AJ529" s="6"/>
      <c r="AK529" s="6"/>
      <c r="AL529" s="6"/>
      <c r="AM529" s="6"/>
      <c r="AN529" s="6"/>
      <c r="AO529" s="6"/>
      <c r="AP529" s="6"/>
      <c r="AQ529" s="7"/>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6"/>
      <c r="AC530" s="6"/>
      <c r="AD530" s="6"/>
      <c r="AE530" s="6"/>
      <c r="AF530" s="6"/>
      <c r="AG530" s="6"/>
      <c r="AH530" s="6"/>
      <c r="AI530" s="6"/>
      <c r="AJ530" s="6"/>
      <c r="AK530" s="6"/>
      <c r="AL530" s="6"/>
      <c r="AM530" s="6"/>
      <c r="AN530" s="6"/>
      <c r="AO530" s="6"/>
      <c r="AP530" s="6"/>
      <c r="AQ530" s="7"/>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6"/>
      <c r="AC531" s="6"/>
      <c r="AD531" s="6"/>
      <c r="AE531" s="6"/>
      <c r="AF531" s="6"/>
      <c r="AG531" s="6"/>
      <c r="AH531" s="6"/>
      <c r="AI531" s="6"/>
      <c r="AJ531" s="6"/>
      <c r="AK531" s="6"/>
      <c r="AL531" s="6"/>
      <c r="AM531" s="6"/>
      <c r="AN531" s="6"/>
      <c r="AO531" s="6"/>
      <c r="AP531" s="6"/>
      <c r="AQ531" s="7"/>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6"/>
      <c r="AC532" s="6"/>
      <c r="AD532" s="6"/>
      <c r="AE532" s="6"/>
      <c r="AF532" s="6"/>
      <c r="AG532" s="6"/>
      <c r="AH532" s="6"/>
      <c r="AI532" s="6"/>
      <c r="AJ532" s="6"/>
      <c r="AK532" s="6"/>
      <c r="AL532" s="6"/>
      <c r="AM532" s="6"/>
      <c r="AN532" s="6"/>
      <c r="AO532" s="6"/>
      <c r="AP532" s="6"/>
      <c r="AQ532" s="7"/>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6"/>
      <c r="AC533" s="6"/>
      <c r="AD533" s="6"/>
      <c r="AE533" s="6"/>
      <c r="AF533" s="6"/>
      <c r="AG533" s="6"/>
      <c r="AH533" s="6"/>
      <c r="AI533" s="6"/>
      <c r="AJ533" s="6"/>
      <c r="AK533" s="6"/>
      <c r="AL533" s="6"/>
      <c r="AM533" s="6"/>
      <c r="AN533" s="6"/>
      <c r="AO533" s="6"/>
      <c r="AP533" s="6"/>
      <c r="AQ533" s="7"/>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6"/>
      <c r="AC534" s="6"/>
      <c r="AD534" s="6"/>
      <c r="AE534" s="6"/>
      <c r="AF534" s="6"/>
      <c r="AG534" s="6"/>
      <c r="AH534" s="6"/>
      <c r="AI534" s="6"/>
      <c r="AJ534" s="6"/>
      <c r="AK534" s="6"/>
      <c r="AL534" s="6"/>
      <c r="AM534" s="6"/>
      <c r="AN534" s="6"/>
      <c r="AO534" s="6"/>
      <c r="AP534" s="6"/>
      <c r="AQ534" s="7"/>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6"/>
      <c r="AC535" s="6"/>
      <c r="AD535" s="6"/>
      <c r="AE535" s="6"/>
      <c r="AF535" s="6"/>
      <c r="AG535" s="6"/>
      <c r="AH535" s="6"/>
      <c r="AI535" s="6"/>
      <c r="AJ535" s="6"/>
      <c r="AK535" s="6"/>
      <c r="AL535" s="6"/>
      <c r="AM535" s="6"/>
      <c r="AN535" s="6"/>
      <c r="AO535" s="6"/>
      <c r="AP535" s="6"/>
      <c r="AQ535" s="7"/>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6"/>
      <c r="AC536" s="6"/>
      <c r="AD536" s="6"/>
      <c r="AE536" s="6"/>
      <c r="AF536" s="6"/>
      <c r="AG536" s="6"/>
      <c r="AH536" s="6"/>
      <c r="AI536" s="6"/>
      <c r="AJ536" s="6"/>
      <c r="AK536" s="6"/>
      <c r="AL536" s="6"/>
      <c r="AM536" s="6"/>
      <c r="AN536" s="6"/>
      <c r="AO536" s="6"/>
      <c r="AP536" s="6"/>
      <c r="AQ536" s="7"/>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6"/>
      <c r="AC537" s="6"/>
      <c r="AD537" s="6"/>
      <c r="AE537" s="6"/>
      <c r="AF537" s="6"/>
      <c r="AG537" s="6"/>
      <c r="AH537" s="6"/>
      <c r="AI537" s="6"/>
      <c r="AJ537" s="6"/>
      <c r="AK537" s="6"/>
      <c r="AL537" s="6"/>
      <c r="AM537" s="6"/>
      <c r="AN537" s="6"/>
      <c r="AO537" s="6"/>
      <c r="AP537" s="6"/>
      <c r="AQ537" s="7"/>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6"/>
      <c r="AC538" s="6"/>
      <c r="AD538" s="6"/>
      <c r="AE538" s="6"/>
      <c r="AF538" s="6"/>
      <c r="AG538" s="6"/>
      <c r="AH538" s="6"/>
      <c r="AI538" s="6"/>
      <c r="AJ538" s="6"/>
      <c r="AK538" s="6"/>
      <c r="AL538" s="6"/>
      <c r="AM538" s="6"/>
      <c r="AN538" s="6"/>
      <c r="AO538" s="6"/>
      <c r="AP538" s="6"/>
      <c r="AQ538" s="7"/>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6"/>
      <c r="AC539" s="6"/>
      <c r="AD539" s="6"/>
      <c r="AE539" s="6"/>
      <c r="AF539" s="6"/>
      <c r="AG539" s="6"/>
      <c r="AH539" s="6"/>
      <c r="AI539" s="6"/>
      <c r="AJ539" s="6"/>
      <c r="AK539" s="6"/>
      <c r="AL539" s="6"/>
      <c r="AM539" s="6"/>
      <c r="AN539" s="6"/>
      <c r="AO539" s="6"/>
      <c r="AP539" s="6"/>
      <c r="AQ539" s="7"/>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6"/>
      <c r="AC540" s="6"/>
      <c r="AD540" s="6"/>
      <c r="AE540" s="6"/>
      <c r="AF540" s="6"/>
      <c r="AG540" s="6"/>
      <c r="AH540" s="6"/>
      <c r="AI540" s="6"/>
      <c r="AJ540" s="6"/>
      <c r="AK540" s="6"/>
      <c r="AL540" s="6"/>
      <c r="AM540" s="6"/>
      <c r="AN540" s="6"/>
      <c r="AO540" s="6"/>
      <c r="AP540" s="6"/>
      <c r="AQ540" s="7"/>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6"/>
      <c r="AC541" s="6"/>
      <c r="AD541" s="6"/>
      <c r="AE541" s="6"/>
      <c r="AF541" s="6"/>
      <c r="AG541" s="6"/>
      <c r="AH541" s="6"/>
      <c r="AI541" s="6"/>
      <c r="AJ541" s="6"/>
      <c r="AK541" s="6"/>
      <c r="AL541" s="6"/>
      <c r="AM541" s="6"/>
      <c r="AN541" s="6"/>
      <c r="AO541" s="6"/>
      <c r="AP541" s="6"/>
      <c r="AQ541" s="7"/>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6"/>
      <c r="AC542" s="6"/>
      <c r="AD542" s="6"/>
      <c r="AE542" s="6"/>
      <c r="AF542" s="6"/>
      <c r="AG542" s="6"/>
      <c r="AH542" s="6"/>
      <c r="AI542" s="6"/>
      <c r="AJ542" s="6"/>
      <c r="AK542" s="6"/>
      <c r="AL542" s="6"/>
      <c r="AM542" s="6"/>
      <c r="AN542" s="6"/>
      <c r="AO542" s="6"/>
      <c r="AP542" s="6"/>
      <c r="AQ542" s="7"/>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6"/>
      <c r="AC543" s="6"/>
      <c r="AD543" s="6"/>
      <c r="AE543" s="6"/>
      <c r="AF543" s="6"/>
      <c r="AG543" s="6"/>
      <c r="AH543" s="6"/>
      <c r="AI543" s="6"/>
      <c r="AJ543" s="6"/>
      <c r="AK543" s="6"/>
      <c r="AL543" s="6"/>
      <c r="AM543" s="6"/>
      <c r="AN543" s="6"/>
      <c r="AO543" s="6"/>
      <c r="AP543" s="6"/>
      <c r="AQ543" s="7"/>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6"/>
      <c r="AC544" s="6"/>
      <c r="AD544" s="6"/>
      <c r="AE544" s="6"/>
      <c r="AF544" s="6"/>
      <c r="AG544" s="6"/>
      <c r="AH544" s="6"/>
      <c r="AI544" s="6"/>
      <c r="AJ544" s="6"/>
      <c r="AK544" s="6"/>
      <c r="AL544" s="6"/>
      <c r="AM544" s="6"/>
      <c r="AN544" s="6"/>
      <c r="AO544" s="6"/>
      <c r="AP544" s="6"/>
      <c r="AQ544" s="7"/>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6"/>
      <c r="AC545" s="6"/>
      <c r="AD545" s="6"/>
      <c r="AE545" s="6"/>
      <c r="AF545" s="6"/>
      <c r="AG545" s="6"/>
      <c r="AH545" s="6"/>
      <c r="AI545" s="6"/>
      <c r="AJ545" s="6"/>
      <c r="AK545" s="6"/>
      <c r="AL545" s="6"/>
      <c r="AM545" s="6"/>
      <c r="AN545" s="6"/>
      <c r="AO545" s="6"/>
      <c r="AP545" s="6"/>
      <c r="AQ545" s="7"/>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6"/>
      <c r="AC546" s="6"/>
      <c r="AD546" s="6"/>
      <c r="AE546" s="6"/>
      <c r="AF546" s="6"/>
      <c r="AG546" s="6"/>
      <c r="AH546" s="6"/>
      <c r="AI546" s="6"/>
      <c r="AJ546" s="6"/>
      <c r="AK546" s="6"/>
      <c r="AL546" s="6"/>
      <c r="AM546" s="6"/>
      <c r="AN546" s="6"/>
      <c r="AO546" s="6"/>
      <c r="AP546" s="6"/>
      <c r="AQ546" s="7"/>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6"/>
      <c r="AC547" s="6"/>
      <c r="AD547" s="6"/>
      <c r="AE547" s="6"/>
      <c r="AF547" s="6"/>
      <c r="AG547" s="6"/>
      <c r="AH547" s="6"/>
      <c r="AI547" s="6"/>
      <c r="AJ547" s="6"/>
      <c r="AK547" s="6"/>
      <c r="AL547" s="6"/>
      <c r="AM547" s="6"/>
      <c r="AN547" s="6"/>
      <c r="AO547" s="6"/>
      <c r="AP547" s="6"/>
      <c r="AQ547" s="7"/>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6"/>
      <c r="AC548" s="6"/>
      <c r="AD548" s="6"/>
      <c r="AE548" s="6"/>
      <c r="AF548" s="6"/>
      <c r="AG548" s="6"/>
      <c r="AH548" s="6"/>
      <c r="AI548" s="6"/>
      <c r="AJ548" s="6"/>
      <c r="AK548" s="6"/>
      <c r="AL548" s="6"/>
      <c r="AM548" s="6"/>
      <c r="AN548" s="6"/>
      <c r="AO548" s="6"/>
      <c r="AP548" s="6"/>
      <c r="AQ548" s="7"/>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6"/>
      <c r="AC549" s="6"/>
      <c r="AD549" s="6"/>
      <c r="AE549" s="6"/>
      <c r="AF549" s="6"/>
      <c r="AG549" s="6"/>
      <c r="AH549" s="6"/>
      <c r="AI549" s="6"/>
      <c r="AJ549" s="6"/>
      <c r="AK549" s="6"/>
      <c r="AL549" s="6"/>
      <c r="AM549" s="6"/>
      <c r="AN549" s="6"/>
      <c r="AO549" s="6"/>
      <c r="AP549" s="6"/>
      <c r="AQ549" s="7"/>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6"/>
      <c r="AC550" s="6"/>
      <c r="AD550" s="6"/>
      <c r="AE550" s="6"/>
      <c r="AF550" s="6"/>
      <c r="AG550" s="6"/>
      <c r="AH550" s="6"/>
      <c r="AI550" s="6"/>
      <c r="AJ550" s="6"/>
      <c r="AK550" s="6"/>
      <c r="AL550" s="6"/>
      <c r="AM550" s="6"/>
      <c r="AN550" s="6"/>
      <c r="AO550" s="6"/>
      <c r="AP550" s="6"/>
      <c r="AQ550" s="7"/>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6"/>
      <c r="AC551" s="6"/>
      <c r="AD551" s="6"/>
      <c r="AE551" s="6"/>
      <c r="AF551" s="6"/>
      <c r="AG551" s="6"/>
      <c r="AH551" s="6"/>
      <c r="AI551" s="6"/>
      <c r="AJ551" s="6"/>
      <c r="AK551" s="6"/>
      <c r="AL551" s="6"/>
      <c r="AM551" s="6"/>
      <c r="AN551" s="6"/>
      <c r="AO551" s="6"/>
      <c r="AP551" s="6"/>
      <c r="AQ551" s="7"/>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6"/>
      <c r="AC552" s="6"/>
      <c r="AD552" s="6"/>
      <c r="AE552" s="6"/>
      <c r="AF552" s="6"/>
      <c r="AG552" s="6"/>
      <c r="AH552" s="6"/>
      <c r="AI552" s="6"/>
      <c r="AJ552" s="6"/>
      <c r="AK552" s="6"/>
      <c r="AL552" s="6"/>
      <c r="AM552" s="6"/>
      <c r="AN552" s="6"/>
      <c r="AO552" s="6"/>
      <c r="AP552" s="6"/>
      <c r="AQ552" s="7"/>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6"/>
      <c r="AC553" s="6"/>
      <c r="AD553" s="6"/>
      <c r="AE553" s="6"/>
      <c r="AF553" s="6"/>
      <c r="AG553" s="6"/>
      <c r="AH553" s="6"/>
      <c r="AI553" s="6"/>
      <c r="AJ553" s="6"/>
      <c r="AK553" s="6"/>
      <c r="AL553" s="6"/>
      <c r="AM553" s="6"/>
      <c r="AN553" s="6"/>
      <c r="AO553" s="6"/>
      <c r="AP553" s="6"/>
      <c r="AQ553" s="7"/>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6"/>
      <c r="AC554" s="6"/>
      <c r="AD554" s="6"/>
      <c r="AE554" s="6"/>
      <c r="AF554" s="6"/>
      <c r="AG554" s="6"/>
      <c r="AH554" s="6"/>
      <c r="AI554" s="6"/>
      <c r="AJ554" s="6"/>
      <c r="AK554" s="6"/>
      <c r="AL554" s="6"/>
      <c r="AM554" s="6"/>
      <c r="AN554" s="6"/>
      <c r="AO554" s="6"/>
      <c r="AP554" s="6"/>
      <c r="AQ554" s="7"/>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6"/>
      <c r="AC555" s="6"/>
      <c r="AD555" s="6"/>
      <c r="AE555" s="6"/>
      <c r="AF555" s="6"/>
      <c r="AG555" s="6"/>
      <c r="AH555" s="6"/>
      <c r="AI555" s="6"/>
      <c r="AJ555" s="6"/>
      <c r="AK555" s="6"/>
      <c r="AL555" s="6"/>
      <c r="AM555" s="6"/>
      <c r="AN555" s="6"/>
      <c r="AO555" s="6"/>
      <c r="AP555" s="6"/>
      <c r="AQ555" s="7"/>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6"/>
      <c r="AC556" s="6"/>
      <c r="AD556" s="6"/>
      <c r="AE556" s="6"/>
      <c r="AF556" s="6"/>
      <c r="AG556" s="6"/>
      <c r="AH556" s="6"/>
      <c r="AI556" s="6"/>
      <c r="AJ556" s="6"/>
      <c r="AK556" s="6"/>
      <c r="AL556" s="6"/>
      <c r="AM556" s="6"/>
      <c r="AN556" s="6"/>
      <c r="AO556" s="6"/>
      <c r="AP556" s="6"/>
      <c r="AQ556" s="7"/>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6"/>
      <c r="AC557" s="6"/>
      <c r="AD557" s="6"/>
      <c r="AE557" s="6"/>
      <c r="AF557" s="6"/>
      <c r="AG557" s="6"/>
      <c r="AH557" s="6"/>
      <c r="AI557" s="6"/>
      <c r="AJ557" s="6"/>
      <c r="AK557" s="6"/>
      <c r="AL557" s="6"/>
      <c r="AM557" s="6"/>
      <c r="AN557" s="6"/>
      <c r="AO557" s="6"/>
      <c r="AP557" s="6"/>
      <c r="AQ557" s="7"/>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6"/>
      <c r="AC558" s="6"/>
      <c r="AD558" s="6"/>
      <c r="AE558" s="6"/>
      <c r="AF558" s="6"/>
      <c r="AG558" s="6"/>
      <c r="AH558" s="6"/>
      <c r="AI558" s="6"/>
      <c r="AJ558" s="6"/>
      <c r="AK558" s="6"/>
      <c r="AL558" s="6"/>
      <c r="AM558" s="6"/>
      <c r="AN558" s="6"/>
      <c r="AO558" s="6"/>
      <c r="AP558" s="6"/>
      <c r="AQ558" s="7"/>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6"/>
      <c r="AC559" s="6"/>
      <c r="AD559" s="6"/>
      <c r="AE559" s="6"/>
      <c r="AF559" s="6"/>
      <c r="AG559" s="6"/>
      <c r="AH559" s="6"/>
      <c r="AI559" s="6"/>
      <c r="AJ559" s="6"/>
      <c r="AK559" s="6"/>
      <c r="AL559" s="6"/>
      <c r="AM559" s="6"/>
      <c r="AN559" s="6"/>
      <c r="AO559" s="6"/>
      <c r="AP559" s="6"/>
      <c r="AQ559" s="7"/>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6"/>
      <c r="AC560" s="6"/>
      <c r="AD560" s="6"/>
      <c r="AE560" s="6"/>
      <c r="AF560" s="6"/>
      <c r="AG560" s="6"/>
      <c r="AH560" s="6"/>
      <c r="AI560" s="6"/>
      <c r="AJ560" s="6"/>
      <c r="AK560" s="6"/>
      <c r="AL560" s="6"/>
      <c r="AM560" s="6"/>
      <c r="AN560" s="6"/>
      <c r="AO560" s="6"/>
      <c r="AP560" s="6"/>
      <c r="AQ560" s="7"/>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6"/>
      <c r="AC561" s="6"/>
      <c r="AD561" s="6"/>
      <c r="AE561" s="6"/>
      <c r="AF561" s="6"/>
      <c r="AG561" s="6"/>
      <c r="AH561" s="6"/>
      <c r="AI561" s="6"/>
      <c r="AJ561" s="6"/>
      <c r="AK561" s="6"/>
      <c r="AL561" s="6"/>
      <c r="AM561" s="6"/>
      <c r="AN561" s="6"/>
      <c r="AO561" s="6"/>
      <c r="AP561" s="6"/>
      <c r="AQ561" s="7"/>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6"/>
      <c r="AC562" s="6"/>
      <c r="AD562" s="6"/>
      <c r="AE562" s="6"/>
      <c r="AF562" s="6"/>
      <c r="AG562" s="6"/>
      <c r="AH562" s="6"/>
      <c r="AI562" s="6"/>
      <c r="AJ562" s="6"/>
      <c r="AK562" s="6"/>
      <c r="AL562" s="6"/>
      <c r="AM562" s="6"/>
      <c r="AN562" s="6"/>
      <c r="AO562" s="6"/>
      <c r="AP562" s="6"/>
      <c r="AQ562" s="7"/>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6"/>
      <c r="AC563" s="6"/>
      <c r="AD563" s="6"/>
      <c r="AE563" s="6"/>
      <c r="AF563" s="6"/>
      <c r="AG563" s="6"/>
      <c r="AH563" s="6"/>
      <c r="AI563" s="6"/>
      <c r="AJ563" s="6"/>
      <c r="AK563" s="6"/>
      <c r="AL563" s="6"/>
      <c r="AM563" s="6"/>
      <c r="AN563" s="6"/>
      <c r="AO563" s="6"/>
      <c r="AP563" s="6"/>
      <c r="AQ563" s="7"/>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6"/>
      <c r="AC564" s="6"/>
      <c r="AD564" s="6"/>
      <c r="AE564" s="6"/>
      <c r="AF564" s="6"/>
      <c r="AG564" s="6"/>
      <c r="AH564" s="6"/>
      <c r="AI564" s="6"/>
      <c r="AJ564" s="6"/>
      <c r="AK564" s="6"/>
      <c r="AL564" s="6"/>
      <c r="AM564" s="6"/>
      <c r="AN564" s="6"/>
      <c r="AO564" s="6"/>
      <c r="AP564" s="6"/>
      <c r="AQ564" s="7"/>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6"/>
      <c r="AC565" s="6"/>
      <c r="AD565" s="6"/>
      <c r="AE565" s="6"/>
      <c r="AF565" s="6"/>
      <c r="AG565" s="6"/>
      <c r="AH565" s="6"/>
      <c r="AI565" s="6"/>
      <c r="AJ565" s="6"/>
      <c r="AK565" s="6"/>
      <c r="AL565" s="6"/>
      <c r="AM565" s="6"/>
      <c r="AN565" s="6"/>
      <c r="AO565" s="6"/>
      <c r="AP565" s="6"/>
      <c r="AQ565" s="7"/>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6"/>
      <c r="AC566" s="6"/>
      <c r="AD566" s="6"/>
      <c r="AE566" s="6"/>
      <c r="AF566" s="6"/>
      <c r="AG566" s="6"/>
      <c r="AH566" s="6"/>
      <c r="AI566" s="6"/>
      <c r="AJ566" s="6"/>
      <c r="AK566" s="6"/>
      <c r="AL566" s="6"/>
      <c r="AM566" s="6"/>
      <c r="AN566" s="6"/>
      <c r="AO566" s="6"/>
      <c r="AP566" s="6"/>
      <c r="AQ566" s="7"/>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6"/>
      <c r="AC567" s="6"/>
      <c r="AD567" s="6"/>
      <c r="AE567" s="6"/>
      <c r="AF567" s="6"/>
      <c r="AG567" s="6"/>
      <c r="AH567" s="6"/>
      <c r="AI567" s="6"/>
      <c r="AJ567" s="6"/>
      <c r="AK567" s="6"/>
      <c r="AL567" s="6"/>
      <c r="AM567" s="6"/>
      <c r="AN567" s="6"/>
      <c r="AO567" s="6"/>
      <c r="AP567" s="6"/>
      <c r="AQ567" s="7"/>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6"/>
      <c r="AC568" s="6"/>
      <c r="AD568" s="6"/>
      <c r="AE568" s="6"/>
      <c r="AF568" s="6"/>
      <c r="AG568" s="6"/>
      <c r="AH568" s="6"/>
      <c r="AI568" s="6"/>
      <c r="AJ568" s="6"/>
      <c r="AK568" s="6"/>
      <c r="AL568" s="6"/>
      <c r="AM568" s="6"/>
      <c r="AN568" s="6"/>
      <c r="AO568" s="6"/>
      <c r="AP568" s="6"/>
      <c r="AQ568" s="7"/>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6"/>
      <c r="AC569" s="6"/>
      <c r="AD569" s="6"/>
      <c r="AE569" s="6"/>
      <c r="AF569" s="6"/>
      <c r="AG569" s="6"/>
      <c r="AH569" s="6"/>
      <c r="AI569" s="6"/>
      <c r="AJ569" s="6"/>
      <c r="AK569" s="6"/>
      <c r="AL569" s="6"/>
      <c r="AM569" s="6"/>
      <c r="AN569" s="6"/>
      <c r="AO569" s="6"/>
      <c r="AP569" s="6"/>
      <c r="AQ569" s="7"/>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6"/>
      <c r="AC570" s="6"/>
      <c r="AD570" s="6"/>
      <c r="AE570" s="6"/>
      <c r="AF570" s="6"/>
      <c r="AG570" s="6"/>
      <c r="AH570" s="6"/>
      <c r="AI570" s="6"/>
      <c r="AJ570" s="6"/>
      <c r="AK570" s="6"/>
      <c r="AL570" s="6"/>
      <c r="AM570" s="6"/>
      <c r="AN570" s="6"/>
      <c r="AO570" s="6"/>
      <c r="AP570" s="6"/>
      <c r="AQ570" s="7"/>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6"/>
      <c r="AC571" s="6"/>
      <c r="AD571" s="6"/>
      <c r="AE571" s="6"/>
      <c r="AF571" s="6"/>
      <c r="AG571" s="6"/>
      <c r="AH571" s="6"/>
      <c r="AI571" s="6"/>
      <c r="AJ571" s="6"/>
      <c r="AK571" s="6"/>
      <c r="AL571" s="6"/>
      <c r="AM571" s="6"/>
      <c r="AN571" s="6"/>
      <c r="AO571" s="6"/>
      <c r="AP571" s="6"/>
      <c r="AQ571" s="7"/>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6"/>
      <c r="AC572" s="6"/>
      <c r="AD572" s="6"/>
      <c r="AE572" s="6"/>
      <c r="AF572" s="6"/>
      <c r="AG572" s="6"/>
      <c r="AH572" s="6"/>
      <c r="AI572" s="6"/>
      <c r="AJ572" s="6"/>
      <c r="AK572" s="6"/>
      <c r="AL572" s="6"/>
      <c r="AM572" s="6"/>
      <c r="AN572" s="6"/>
      <c r="AO572" s="6"/>
      <c r="AP572" s="6"/>
      <c r="AQ572" s="7"/>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6"/>
      <c r="AC573" s="6"/>
      <c r="AD573" s="6"/>
      <c r="AE573" s="6"/>
      <c r="AF573" s="6"/>
      <c r="AG573" s="6"/>
      <c r="AH573" s="6"/>
      <c r="AI573" s="6"/>
      <c r="AJ573" s="6"/>
      <c r="AK573" s="6"/>
      <c r="AL573" s="6"/>
      <c r="AM573" s="6"/>
      <c r="AN573" s="6"/>
      <c r="AO573" s="6"/>
      <c r="AP573" s="6"/>
      <c r="AQ573" s="7"/>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6"/>
      <c r="AC574" s="6"/>
      <c r="AD574" s="6"/>
      <c r="AE574" s="6"/>
      <c r="AF574" s="6"/>
      <c r="AG574" s="6"/>
      <c r="AH574" s="6"/>
      <c r="AI574" s="6"/>
      <c r="AJ574" s="6"/>
      <c r="AK574" s="6"/>
      <c r="AL574" s="6"/>
      <c r="AM574" s="6"/>
      <c r="AN574" s="6"/>
      <c r="AO574" s="6"/>
      <c r="AP574" s="6"/>
      <c r="AQ574" s="7"/>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6"/>
      <c r="AC575" s="6"/>
      <c r="AD575" s="6"/>
      <c r="AE575" s="6"/>
      <c r="AF575" s="6"/>
      <c r="AG575" s="6"/>
      <c r="AH575" s="6"/>
      <c r="AI575" s="6"/>
      <c r="AJ575" s="6"/>
      <c r="AK575" s="6"/>
      <c r="AL575" s="6"/>
      <c r="AM575" s="6"/>
      <c r="AN575" s="6"/>
      <c r="AO575" s="6"/>
      <c r="AP575" s="6"/>
      <c r="AQ575" s="7"/>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6"/>
      <c r="AC576" s="6"/>
      <c r="AD576" s="6"/>
      <c r="AE576" s="6"/>
      <c r="AF576" s="6"/>
      <c r="AG576" s="6"/>
      <c r="AH576" s="6"/>
      <c r="AI576" s="6"/>
      <c r="AJ576" s="6"/>
      <c r="AK576" s="6"/>
      <c r="AL576" s="6"/>
      <c r="AM576" s="6"/>
      <c r="AN576" s="6"/>
      <c r="AO576" s="6"/>
      <c r="AP576" s="6"/>
      <c r="AQ576" s="7"/>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6"/>
      <c r="AC577" s="6"/>
      <c r="AD577" s="6"/>
      <c r="AE577" s="6"/>
      <c r="AF577" s="6"/>
      <c r="AG577" s="6"/>
      <c r="AH577" s="6"/>
      <c r="AI577" s="6"/>
      <c r="AJ577" s="6"/>
      <c r="AK577" s="6"/>
      <c r="AL577" s="6"/>
      <c r="AM577" s="6"/>
      <c r="AN577" s="6"/>
      <c r="AO577" s="6"/>
      <c r="AP577" s="6"/>
      <c r="AQ577" s="7"/>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6"/>
      <c r="AC578" s="6"/>
      <c r="AD578" s="6"/>
      <c r="AE578" s="6"/>
      <c r="AF578" s="6"/>
      <c r="AG578" s="6"/>
      <c r="AH578" s="6"/>
      <c r="AI578" s="6"/>
      <c r="AJ578" s="6"/>
      <c r="AK578" s="6"/>
      <c r="AL578" s="6"/>
      <c r="AM578" s="6"/>
      <c r="AN578" s="6"/>
      <c r="AO578" s="6"/>
      <c r="AP578" s="6"/>
      <c r="AQ578" s="7"/>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6"/>
      <c r="AC579" s="6"/>
      <c r="AD579" s="6"/>
      <c r="AE579" s="6"/>
      <c r="AF579" s="6"/>
      <c r="AG579" s="6"/>
      <c r="AH579" s="6"/>
      <c r="AI579" s="6"/>
      <c r="AJ579" s="6"/>
      <c r="AK579" s="6"/>
      <c r="AL579" s="6"/>
      <c r="AM579" s="6"/>
      <c r="AN579" s="6"/>
      <c r="AO579" s="6"/>
      <c r="AP579" s="6"/>
      <c r="AQ579" s="7"/>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6"/>
      <c r="AC580" s="6"/>
      <c r="AD580" s="6"/>
      <c r="AE580" s="6"/>
      <c r="AF580" s="6"/>
      <c r="AG580" s="6"/>
      <c r="AH580" s="6"/>
      <c r="AI580" s="6"/>
      <c r="AJ580" s="6"/>
      <c r="AK580" s="6"/>
      <c r="AL580" s="6"/>
      <c r="AM580" s="6"/>
      <c r="AN580" s="6"/>
      <c r="AO580" s="6"/>
      <c r="AP580" s="6"/>
      <c r="AQ580" s="7"/>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6"/>
      <c r="AC581" s="6"/>
      <c r="AD581" s="6"/>
      <c r="AE581" s="6"/>
      <c r="AF581" s="6"/>
      <c r="AG581" s="6"/>
      <c r="AH581" s="6"/>
      <c r="AI581" s="6"/>
      <c r="AJ581" s="6"/>
      <c r="AK581" s="6"/>
      <c r="AL581" s="6"/>
      <c r="AM581" s="6"/>
      <c r="AN581" s="6"/>
      <c r="AO581" s="6"/>
      <c r="AP581" s="6"/>
      <c r="AQ581" s="7"/>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6"/>
      <c r="AC582" s="6"/>
      <c r="AD582" s="6"/>
      <c r="AE582" s="6"/>
      <c r="AF582" s="6"/>
      <c r="AG582" s="6"/>
      <c r="AH582" s="6"/>
      <c r="AI582" s="6"/>
      <c r="AJ582" s="6"/>
      <c r="AK582" s="6"/>
      <c r="AL582" s="6"/>
      <c r="AM582" s="6"/>
      <c r="AN582" s="6"/>
      <c r="AO582" s="6"/>
      <c r="AP582" s="6"/>
      <c r="AQ582" s="7"/>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6"/>
      <c r="AC583" s="6"/>
      <c r="AD583" s="6"/>
      <c r="AE583" s="6"/>
      <c r="AF583" s="6"/>
      <c r="AG583" s="6"/>
      <c r="AH583" s="6"/>
      <c r="AI583" s="6"/>
      <c r="AJ583" s="6"/>
      <c r="AK583" s="6"/>
      <c r="AL583" s="6"/>
      <c r="AM583" s="6"/>
      <c r="AN583" s="6"/>
      <c r="AO583" s="6"/>
      <c r="AP583" s="6"/>
      <c r="AQ583" s="7"/>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6"/>
      <c r="AC584" s="6"/>
      <c r="AD584" s="6"/>
      <c r="AE584" s="6"/>
      <c r="AF584" s="6"/>
      <c r="AG584" s="6"/>
      <c r="AH584" s="6"/>
      <c r="AI584" s="6"/>
      <c r="AJ584" s="6"/>
      <c r="AK584" s="6"/>
      <c r="AL584" s="6"/>
      <c r="AM584" s="6"/>
      <c r="AN584" s="6"/>
      <c r="AO584" s="6"/>
      <c r="AP584" s="6"/>
      <c r="AQ584" s="7"/>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6"/>
      <c r="AC585" s="6"/>
      <c r="AD585" s="6"/>
      <c r="AE585" s="6"/>
      <c r="AF585" s="6"/>
      <c r="AG585" s="6"/>
      <c r="AH585" s="6"/>
      <c r="AI585" s="6"/>
      <c r="AJ585" s="6"/>
      <c r="AK585" s="6"/>
      <c r="AL585" s="6"/>
      <c r="AM585" s="6"/>
      <c r="AN585" s="6"/>
      <c r="AO585" s="6"/>
      <c r="AP585" s="6"/>
      <c r="AQ585" s="7"/>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6"/>
      <c r="AC586" s="6"/>
      <c r="AD586" s="6"/>
      <c r="AE586" s="6"/>
      <c r="AF586" s="6"/>
      <c r="AG586" s="6"/>
      <c r="AH586" s="6"/>
      <c r="AI586" s="6"/>
      <c r="AJ586" s="6"/>
      <c r="AK586" s="6"/>
      <c r="AL586" s="6"/>
      <c r="AM586" s="6"/>
      <c r="AN586" s="6"/>
      <c r="AO586" s="6"/>
      <c r="AP586" s="6"/>
      <c r="AQ586" s="7"/>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6"/>
      <c r="AC587" s="6"/>
      <c r="AD587" s="6"/>
      <c r="AE587" s="6"/>
      <c r="AF587" s="6"/>
      <c r="AG587" s="6"/>
      <c r="AH587" s="6"/>
      <c r="AI587" s="6"/>
      <c r="AJ587" s="6"/>
      <c r="AK587" s="6"/>
      <c r="AL587" s="6"/>
      <c r="AM587" s="6"/>
      <c r="AN587" s="6"/>
      <c r="AO587" s="6"/>
      <c r="AP587" s="6"/>
      <c r="AQ587" s="7"/>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6"/>
      <c r="AC588" s="6"/>
      <c r="AD588" s="6"/>
      <c r="AE588" s="6"/>
      <c r="AF588" s="6"/>
      <c r="AG588" s="6"/>
      <c r="AH588" s="6"/>
      <c r="AI588" s="6"/>
      <c r="AJ588" s="6"/>
      <c r="AK588" s="6"/>
      <c r="AL588" s="6"/>
      <c r="AM588" s="6"/>
      <c r="AN588" s="6"/>
      <c r="AO588" s="6"/>
      <c r="AP588" s="6"/>
      <c r="AQ588" s="7"/>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6"/>
      <c r="AC589" s="6"/>
      <c r="AD589" s="6"/>
      <c r="AE589" s="6"/>
      <c r="AF589" s="6"/>
      <c r="AG589" s="6"/>
      <c r="AH589" s="6"/>
      <c r="AI589" s="6"/>
      <c r="AJ589" s="6"/>
      <c r="AK589" s="6"/>
      <c r="AL589" s="6"/>
      <c r="AM589" s="6"/>
      <c r="AN589" s="6"/>
      <c r="AO589" s="6"/>
      <c r="AP589" s="6"/>
      <c r="AQ589" s="7"/>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6"/>
      <c r="AC590" s="6"/>
      <c r="AD590" s="6"/>
      <c r="AE590" s="6"/>
      <c r="AF590" s="6"/>
      <c r="AG590" s="6"/>
      <c r="AH590" s="6"/>
      <c r="AI590" s="6"/>
      <c r="AJ590" s="6"/>
      <c r="AK590" s="6"/>
      <c r="AL590" s="6"/>
      <c r="AM590" s="6"/>
      <c r="AN590" s="6"/>
      <c r="AO590" s="6"/>
      <c r="AP590" s="6"/>
      <c r="AQ590" s="7"/>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6"/>
      <c r="AC591" s="6"/>
      <c r="AD591" s="6"/>
      <c r="AE591" s="6"/>
      <c r="AF591" s="6"/>
      <c r="AG591" s="6"/>
      <c r="AH591" s="6"/>
      <c r="AI591" s="6"/>
      <c r="AJ591" s="6"/>
      <c r="AK591" s="6"/>
      <c r="AL591" s="6"/>
      <c r="AM591" s="6"/>
      <c r="AN591" s="6"/>
      <c r="AO591" s="6"/>
      <c r="AP591" s="6"/>
      <c r="AQ591" s="7"/>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6"/>
      <c r="AC592" s="6"/>
      <c r="AD592" s="6"/>
      <c r="AE592" s="6"/>
      <c r="AF592" s="6"/>
      <c r="AG592" s="6"/>
      <c r="AH592" s="6"/>
      <c r="AI592" s="6"/>
      <c r="AJ592" s="6"/>
      <c r="AK592" s="6"/>
      <c r="AL592" s="6"/>
      <c r="AM592" s="6"/>
      <c r="AN592" s="6"/>
      <c r="AO592" s="6"/>
      <c r="AP592" s="6"/>
      <c r="AQ592" s="7"/>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6"/>
      <c r="AC593" s="6"/>
      <c r="AD593" s="6"/>
      <c r="AE593" s="6"/>
      <c r="AF593" s="6"/>
      <c r="AG593" s="6"/>
      <c r="AH593" s="6"/>
      <c r="AI593" s="6"/>
      <c r="AJ593" s="6"/>
      <c r="AK593" s="6"/>
      <c r="AL593" s="6"/>
      <c r="AM593" s="6"/>
      <c r="AN593" s="6"/>
      <c r="AO593" s="6"/>
      <c r="AP593" s="6"/>
      <c r="AQ593" s="7"/>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6"/>
      <c r="AC594" s="6"/>
      <c r="AD594" s="6"/>
      <c r="AE594" s="6"/>
      <c r="AF594" s="6"/>
      <c r="AG594" s="6"/>
      <c r="AH594" s="6"/>
      <c r="AI594" s="6"/>
      <c r="AJ594" s="6"/>
      <c r="AK594" s="6"/>
      <c r="AL594" s="6"/>
      <c r="AM594" s="6"/>
      <c r="AN594" s="6"/>
      <c r="AO594" s="6"/>
      <c r="AP594" s="6"/>
      <c r="AQ594" s="7"/>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6"/>
      <c r="AC595" s="6"/>
      <c r="AD595" s="6"/>
      <c r="AE595" s="6"/>
      <c r="AF595" s="6"/>
      <c r="AG595" s="6"/>
      <c r="AH595" s="6"/>
      <c r="AI595" s="6"/>
      <c r="AJ595" s="6"/>
      <c r="AK595" s="6"/>
      <c r="AL595" s="6"/>
      <c r="AM595" s="6"/>
      <c r="AN595" s="6"/>
      <c r="AO595" s="6"/>
      <c r="AP595" s="6"/>
      <c r="AQ595" s="7"/>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6"/>
      <c r="AC596" s="6"/>
      <c r="AD596" s="6"/>
      <c r="AE596" s="6"/>
      <c r="AF596" s="6"/>
      <c r="AG596" s="6"/>
      <c r="AH596" s="6"/>
      <c r="AI596" s="6"/>
      <c r="AJ596" s="6"/>
      <c r="AK596" s="6"/>
      <c r="AL596" s="6"/>
      <c r="AM596" s="6"/>
      <c r="AN596" s="6"/>
      <c r="AO596" s="6"/>
      <c r="AP596" s="6"/>
      <c r="AQ596" s="7"/>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6"/>
      <c r="AC597" s="6"/>
      <c r="AD597" s="6"/>
      <c r="AE597" s="6"/>
      <c r="AF597" s="6"/>
      <c r="AG597" s="6"/>
      <c r="AH597" s="6"/>
      <c r="AI597" s="6"/>
      <c r="AJ597" s="6"/>
      <c r="AK597" s="6"/>
      <c r="AL597" s="6"/>
      <c r="AM597" s="6"/>
      <c r="AN597" s="6"/>
      <c r="AO597" s="6"/>
      <c r="AP597" s="6"/>
      <c r="AQ597" s="7"/>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6"/>
      <c r="AC598" s="6"/>
      <c r="AD598" s="6"/>
      <c r="AE598" s="6"/>
      <c r="AF598" s="6"/>
      <c r="AG598" s="6"/>
      <c r="AH598" s="6"/>
      <c r="AI598" s="6"/>
      <c r="AJ598" s="6"/>
      <c r="AK598" s="6"/>
      <c r="AL598" s="6"/>
      <c r="AM598" s="6"/>
      <c r="AN598" s="6"/>
      <c r="AO598" s="6"/>
      <c r="AP598" s="6"/>
      <c r="AQ598" s="7"/>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6"/>
      <c r="AC599" s="6"/>
      <c r="AD599" s="6"/>
      <c r="AE599" s="6"/>
      <c r="AF599" s="6"/>
      <c r="AG599" s="6"/>
      <c r="AH599" s="6"/>
      <c r="AI599" s="6"/>
      <c r="AJ599" s="6"/>
      <c r="AK599" s="6"/>
      <c r="AL599" s="6"/>
      <c r="AM599" s="6"/>
      <c r="AN599" s="6"/>
      <c r="AO599" s="6"/>
      <c r="AP599" s="6"/>
      <c r="AQ599" s="7"/>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6"/>
      <c r="AC600" s="6"/>
      <c r="AD600" s="6"/>
      <c r="AE600" s="6"/>
      <c r="AF600" s="6"/>
      <c r="AG600" s="6"/>
      <c r="AH600" s="6"/>
      <c r="AI600" s="6"/>
      <c r="AJ600" s="6"/>
      <c r="AK600" s="6"/>
      <c r="AL600" s="6"/>
      <c r="AM600" s="6"/>
      <c r="AN600" s="6"/>
      <c r="AO600" s="6"/>
      <c r="AP600" s="6"/>
      <c r="AQ600" s="7"/>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6"/>
      <c r="AC601" s="6"/>
      <c r="AD601" s="6"/>
      <c r="AE601" s="6"/>
      <c r="AF601" s="6"/>
      <c r="AG601" s="6"/>
      <c r="AH601" s="6"/>
      <c r="AI601" s="6"/>
      <c r="AJ601" s="6"/>
      <c r="AK601" s="6"/>
      <c r="AL601" s="6"/>
      <c r="AM601" s="6"/>
      <c r="AN601" s="6"/>
      <c r="AO601" s="6"/>
      <c r="AP601" s="6"/>
      <c r="AQ601" s="7"/>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6"/>
      <c r="AC602" s="6"/>
      <c r="AD602" s="6"/>
      <c r="AE602" s="6"/>
      <c r="AF602" s="6"/>
      <c r="AG602" s="6"/>
      <c r="AH602" s="6"/>
      <c r="AI602" s="6"/>
      <c r="AJ602" s="6"/>
      <c r="AK602" s="6"/>
      <c r="AL602" s="6"/>
      <c r="AM602" s="6"/>
      <c r="AN602" s="6"/>
      <c r="AO602" s="6"/>
      <c r="AP602" s="6"/>
      <c r="AQ602" s="7"/>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6"/>
      <c r="AC603" s="6"/>
      <c r="AD603" s="6"/>
      <c r="AE603" s="6"/>
      <c r="AF603" s="6"/>
      <c r="AG603" s="6"/>
      <c r="AH603" s="6"/>
      <c r="AI603" s="6"/>
      <c r="AJ603" s="6"/>
      <c r="AK603" s="6"/>
      <c r="AL603" s="6"/>
      <c r="AM603" s="6"/>
      <c r="AN603" s="6"/>
      <c r="AO603" s="6"/>
      <c r="AP603" s="6"/>
      <c r="AQ603" s="7"/>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6"/>
      <c r="AC604" s="6"/>
      <c r="AD604" s="6"/>
      <c r="AE604" s="6"/>
      <c r="AF604" s="6"/>
      <c r="AG604" s="6"/>
      <c r="AH604" s="6"/>
      <c r="AI604" s="6"/>
      <c r="AJ604" s="6"/>
      <c r="AK604" s="6"/>
      <c r="AL604" s="6"/>
      <c r="AM604" s="6"/>
      <c r="AN604" s="6"/>
      <c r="AO604" s="6"/>
      <c r="AP604" s="6"/>
      <c r="AQ604" s="7"/>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6"/>
      <c r="AC605" s="6"/>
      <c r="AD605" s="6"/>
      <c r="AE605" s="6"/>
      <c r="AF605" s="6"/>
      <c r="AG605" s="6"/>
      <c r="AH605" s="6"/>
      <c r="AI605" s="6"/>
      <c r="AJ605" s="6"/>
      <c r="AK605" s="6"/>
      <c r="AL605" s="6"/>
      <c r="AM605" s="6"/>
      <c r="AN605" s="6"/>
      <c r="AO605" s="6"/>
      <c r="AP605" s="6"/>
      <c r="AQ605" s="7"/>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6"/>
      <c r="AC606" s="6"/>
      <c r="AD606" s="6"/>
      <c r="AE606" s="6"/>
      <c r="AF606" s="6"/>
      <c r="AG606" s="6"/>
      <c r="AH606" s="6"/>
      <c r="AI606" s="6"/>
      <c r="AJ606" s="6"/>
      <c r="AK606" s="6"/>
      <c r="AL606" s="6"/>
      <c r="AM606" s="6"/>
      <c r="AN606" s="6"/>
      <c r="AO606" s="6"/>
      <c r="AP606" s="6"/>
      <c r="AQ606" s="7"/>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6"/>
      <c r="AC607" s="6"/>
      <c r="AD607" s="6"/>
      <c r="AE607" s="6"/>
      <c r="AF607" s="6"/>
      <c r="AG607" s="6"/>
      <c r="AH607" s="6"/>
      <c r="AI607" s="6"/>
      <c r="AJ607" s="6"/>
      <c r="AK607" s="6"/>
      <c r="AL607" s="6"/>
      <c r="AM607" s="6"/>
      <c r="AN607" s="6"/>
      <c r="AO607" s="6"/>
      <c r="AP607" s="6"/>
      <c r="AQ607" s="7"/>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6"/>
      <c r="AC608" s="6"/>
      <c r="AD608" s="6"/>
      <c r="AE608" s="6"/>
      <c r="AF608" s="6"/>
      <c r="AG608" s="6"/>
      <c r="AH608" s="6"/>
      <c r="AI608" s="6"/>
      <c r="AJ608" s="6"/>
      <c r="AK608" s="6"/>
      <c r="AL608" s="6"/>
      <c r="AM608" s="6"/>
      <c r="AN608" s="6"/>
      <c r="AO608" s="6"/>
      <c r="AP608" s="6"/>
      <c r="AQ608" s="7"/>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6"/>
      <c r="AC609" s="6"/>
      <c r="AD609" s="6"/>
      <c r="AE609" s="6"/>
      <c r="AF609" s="6"/>
      <c r="AG609" s="6"/>
      <c r="AH609" s="6"/>
      <c r="AI609" s="6"/>
      <c r="AJ609" s="6"/>
      <c r="AK609" s="6"/>
      <c r="AL609" s="6"/>
      <c r="AM609" s="6"/>
      <c r="AN609" s="6"/>
      <c r="AO609" s="6"/>
      <c r="AP609" s="6"/>
      <c r="AQ609" s="7"/>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6"/>
      <c r="AC610" s="6"/>
      <c r="AD610" s="6"/>
      <c r="AE610" s="6"/>
      <c r="AF610" s="6"/>
      <c r="AG610" s="6"/>
      <c r="AH610" s="6"/>
      <c r="AI610" s="6"/>
      <c r="AJ610" s="6"/>
      <c r="AK610" s="6"/>
      <c r="AL610" s="6"/>
      <c r="AM610" s="6"/>
      <c r="AN610" s="6"/>
      <c r="AO610" s="6"/>
      <c r="AP610" s="6"/>
      <c r="AQ610" s="7"/>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6"/>
      <c r="AC611" s="6"/>
      <c r="AD611" s="6"/>
      <c r="AE611" s="6"/>
      <c r="AF611" s="6"/>
      <c r="AG611" s="6"/>
      <c r="AH611" s="6"/>
      <c r="AI611" s="6"/>
      <c r="AJ611" s="6"/>
      <c r="AK611" s="6"/>
      <c r="AL611" s="6"/>
      <c r="AM611" s="6"/>
      <c r="AN611" s="6"/>
      <c r="AO611" s="6"/>
      <c r="AP611" s="6"/>
      <c r="AQ611" s="7"/>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6"/>
      <c r="AC612" s="6"/>
      <c r="AD612" s="6"/>
      <c r="AE612" s="6"/>
      <c r="AF612" s="6"/>
      <c r="AG612" s="6"/>
      <c r="AH612" s="6"/>
      <c r="AI612" s="6"/>
      <c r="AJ612" s="6"/>
      <c r="AK612" s="6"/>
      <c r="AL612" s="6"/>
      <c r="AM612" s="6"/>
      <c r="AN612" s="6"/>
      <c r="AO612" s="6"/>
      <c r="AP612" s="6"/>
      <c r="AQ612" s="7"/>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6"/>
      <c r="AC613" s="6"/>
      <c r="AD613" s="6"/>
      <c r="AE613" s="6"/>
      <c r="AF613" s="6"/>
      <c r="AG613" s="6"/>
      <c r="AH613" s="6"/>
      <c r="AI613" s="6"/>
      <c r="AJ613" s="6"/>
      <c r="AK613" s="6"/>
      <c r="AL613" s="6"/>
      <c r="AM613" s="6"/>
      <c r="AN613" s="6"/>
      <c r="AO613" s="6"/>
      <c r="AP613" s="6"/>
      <c r="AQ613" s="7"/>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6"/>
      <c r="AC614" s="6"/>
      <c r="AD614" s="6"/>
      <c r="AE614" s="6"/>
      <c r="AF614" s="6"/>
      <c r="AG614" s="6"/>
      <c r="AH614" s="6"/>
      <c r="AI614" s="6"/>
      <c r="AJ614" s="6"/>
      <c r="AK614" s="6"/>
      <c r="AL614" s="6"/>
      <c r="AM614" s="6"/>
      <c r="AN614" s="6"/>
      <c r="AO614" s="6"/>
      <c r="AP614" s="6"/>
      <c r="AQ614" s="7"/>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6"/>
      <c r="AC615" s="6"/>
      <c r="AD615" s="6"/>
      <c r="AE615" s="6"/>
      <c r="AF615" s="6"/>
      <c r="AG615" s="6"/>
      <c r="AH615" s="6"/>
      <c r="AI615" s="6"/>
      <c r="AJ615" s="6"/>
      <c r="AK615" s="6"/>
      <c r="AL615" s="6"/>
      <c r="AM615" s="6"/>
      <c r="AN615" s="6"/>
      <c r="AO615" s="6"/>
      <c r="AP615" s="6"/>
      <c r="AQ615" s="7"/>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6"/>
      <c r="AC616" s="6"/>
      <c r="AD616" s="6"/>
      <c r="AE616" s="6"/>
      <c r="AF616" s="6"/>
      <c r="AG616" s="6"/>
      <c r="AH616" s="6"/>
      <c r="AI616" s="6"/>
      <c r="AJ616" s="6"/>
      <c r="AK616" s="6"/>
      <c r="AL616" s="6"/>
      <c r="AM616" s="6"/>
      <c r="AN616" s="6"/>
      <c r="AO616" s="6"/>
      <c r="AP616" s="6"/>
      <c r="AQ616" s="7"/>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6"/>
      <c r="AC617" s="6"/>
      <c r="AD617" s="6"/>
      <c r="AE617" s="6"/>
      <c r="AF617" s="6"/>
      <c r="AG617" s="6"/>
      <c r="AH617" s="6"/>
      <c r="AI617" s="6"/>
      <c r="AJ617" s="6"/>
      <c r="AK617" s="6"/>
      <c r="AL617" s="6"/>
      <c r="AM617" s="6"/>
      <c r="AN617" s="6"/>
      <c r="AO617" s="6"/>
      <c r="AP617" s="6"/>
      <c r="AQ617" s="7"/>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6"/>
      <c r="AC618" s="6"/>
      <c r="AD618" s="6"/>
      <c r="AE618" s="6"/>
      <c r="AF618" s="6"/>
      <c r="AG618" s="6"/>
      <c r="AH618" s="6"/>
      <c r="AI618" s="6"/>
      <c r="AJ618" s="6"/>
      <c r="AK618" s="6"/>
      <c r="AL618" s="6"/>
      <c r="AM618" s="6"/>
      <c r="AN618" s="6"/>
      <c r="AO618" s="6"/>
      <c r="AP618" s="6"/>
      <c r="AQ618" s="7"/>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6"/>
      <c r="AC619" s="6"/>
      <c r="AD619" s="6"/>
      <c r="AE619" s="6"/>
      <c r="AF619" s="6"/>
      <c r="AG619" s="6"/>
      <c r="AH619" s="6"/>
      <c r="AI619" s="6"/>
      <c r="AJ619" s="6"/>
      <c r="AK619" s="6"/>
      <c r="AL619" s="6"/>
      <c r="AM619" s="6"/>
      <c r="AN619" s="6"/>
      <c r="AO619" s="6"/>
      <c r="AP619" s="6"/>
      <c r="AQ619" s="7"/>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6"/>
      <c r="AC620" s="6"/>
      <c r="AD620" s="6"/>
      <c r="AE620" s="6"/>
      <c r="AF620" s="6"/>
      <c r="AG620" s="6"/>
      <c r="AH620" s="6"/>
      <c r="AI620" s="6"/>
      <c r="AJ620" s="6"/>
      <c r="AK620" s="6"/>
      <c r="AL620" s="6"/>
      <c r="AM620" s="6"/>
      <c r="AN620" s="6"/>
      <c r="AO620" s="6"/>
      <c r="AP620" s="6"/>
      <c r="AQ620" s="7"/>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6"/>
      <c r="AC621" s="6"/>
      <c r="AD621" s="6"/>
      <c r="AE621" s="6"/>
      <c r="AF621" s="6"/>
      <c r="AG621" s="6"/>
      <c r="AH621" s="6"/>
      <c r="AI621" s="6"/>
      <c r="AJ621" s="6"/>
      <c r="AK621" s="6"/>
      <c r="AL621" s="6"/>
      <c r="AM621" s="6"/>
      <c r="AN621" s="6"/>
      <c r="AO621" s="6"/>
      <c r="AP621" s="6"/>
      <c r="AQ621" s="7"/>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6"/>
      <c r="AC622" s="6"/>
      <c r="AD622" s="6"/>
      <c r="AE622" s="6"/>
      <c r="AF622" s="6"/>
      <c r="AG622" s="6"/>
      <c r="AH622" s="6"/>
      <c r="AI622" s="6"/>
      <c r="AJ622" s="6"/>
      <c r="AK622" s="6"/>
      <c r="AL622" s="6"/>
      <c r="AM622" s="6"/>
      <c r="AN622" s="6"/>
      <c r="AO622" s="6"/>
      <c r="AP622" s="6"/>
      <c r="AQ622" s="7"/>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6"/>
      <c r="AC623" s="6"/>
      <c r="AD623" s="6"/>
      <c r="AE623" s="6"/>
      <c r="AF623" s="6"/>
      <c r="AG623" s="6"/>
      <c r="AH623" s="6"/>
      <c r="AI623" s="6"/>
      <c r="AJ623" s="6"/>
      <c r="AK623" s="6"/>
      <c r="AL623" s="6"/>
      <c r="AM623" s="6"/>
      <c r="AN623" s="6"/>
      <c r="AO623" s="6"/>
      <c r="AP623" s="6"/>
      <c r="AQ623" s="7"/>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6"/>
      <c r="AC624" s="6"/>
      <c r="AD624" s="6"/>
      <c r="AE624" s="6"/>
      <c r="AF624" s="6"/>
      <c r="AG624" s="6"/>
      <c r="AH624" s="6"/>
      <c r="AI624" s="6"/>
      <c r="AJ624" s="6"/>
      <c r="AK624" s="6"/>
      <c r="AL624" s="6"/>
      <c r="AM624" s="6"/>
      <c r="AN624" s="6"/>
      <c r="AO624" s="6"/>
      <c r="AP624" s="6"/>
      <c r="AQ624" s="7"/>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6"/>
      <c r="AC625" s="6"/>
      <c r="AD625" s="6"/>
      <c r="AE625" s="6"/>
      <c r="AF625" s="6"/>
      <c r="AG625" s="6"/>
      <c r="AH625" s="6"/>
      <c r="AI625" s="6"/>
      <c r="AJ625" s="6"/>
      <c r="AK625" s="6"/>
      <c r="AL625" s="6"/>
      <c r="AM625" s="6"/>
      <c r="AN625" s="6"/>
      <c r="AO625" s="6"/>
      <c r="AP625" s="6"/>
      <c r="AQ625" s="7"/>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6"/>
      <c r="AC626" s="6"/>
      <c r="AD626" s="6"/>
      <c r="AE626" s="6"/>
      <c r="AF626" s="6"/>
      <c r="AG626" s="6"/>
      <c r="AH626" s="6"/>
      <c r="AI626" s="6"/>
      <c r="AJ626" s="6"/>
      <c r="AK626" s="6"/>
      <c r="AL626" s="6"/>
      <c r="AM626" s="6"/>
      <c r="AN626" s="6"/>
      <c r="AO626" s="6"/>
      <c r="AP626" s="6"/>
      <c r="AQ626" s="7"/>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6"/>
      <c r="AC627" s="6"/>
      <c r="AD627" s="6"/>
      <c r="AE627" s="6"/>
      <c r="AF627" s="6"/>
      <c r="AG627" s="6"/>
      <c r="AH627" s="6"/>
      <c r="AI627" s="6"/>
      <c r="AJ627" s="6"/>
      <c r="AK627" s="6"/>
      <c r="AL627" s="6"/>
      <c r="AM627" s="6"/>
      <c r="AN627" s="6"/>
      <c r="AO627" s="6"/>
      <c r="AP627" s="6"/>
      <c r="AQ627" s="7"/>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6"/>
      <c r="AC628" s="6"/>
      <c r="AD628" s="6"/>
      <c r="AE628" s="6"/>
      <c r="AF628" s="6"/>
      <c r="AG628" s="6"/>
      <c r="AH628" s="6"/>
      <c r="AI628" s="6"/>
      <c r="AJ628" s="6"/>
      <c r="AK628" s="6"/>
      <c r="AL628" s="6"/>
      <c r="AM628" s="6"/>
      <c r="AN628" s="6"/>
      <c r="AO628" s="6"/>
      <c r="AP628" s="6"/>
      <c r="AQ628" s="7"/>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6"/>
      <c r="AC629" s="6"/>
      <c r="AD629" s="6"/>
      <c r="AE629" s="6"/>
      <c r="AF629" s="6"/>
      <c r="AG629" s="6"/>
      <c r="AH629" s="6"/>
      <c r="AI629" s="6"/>
      <c r="AJ629" s="6"/>
      <c r="AK629" s="6"/>
      <c r="AL629" s="6"/>
      <c r="AM629" s="6"/>
      <c r="AN629" s="6"/>
      <c r="AO629" s="6"/>
      <c r="AP629" s="6"/>
      <c r="AQ629" s="7"/>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6"/>
      <c r="AC630" s="6"/>
      <c r="AD630" s="6"/>
      <c r="AE630" s="6"/>
      <c r="AF630" s="6"/>
      <c r="AG630" s="6"/>
      <c r="AH630" s="6"/>
      <c r="AI630" s="6"/>
      <c r="AJ630" s="6"/>
      <c r="AK630" s="6"/>
      <c r="AL630" s="6"/>
      <c r="AM630" s="6"/>
      <c r="AN630" s="6"/>
      <c r="AO630" s="6"/>
      <c r="AP630" s="6"/>
      <c r="AQ630" s="7"/>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6"/>
      <c r="AC631" s="6"/>
      <c r="AD631" s="6"/>
      <c r="AE631" s="6"/>
      <c r="AF631" s="6"/>
      <c r="AG631" s="6"/>
      <c r="AH631" s="6"/>
      <c r="AI631" s="6"/>
      <c r="AJ631" s="6"/>
      <c r="AK631" s="6"/>
      <c r="AL631" s="6"/>
      <c r="AM631" s="6"/>
      <c r="AN631" s="6"/>
      <c r="AO631" s="6"/>
      <c r="AP631" s="6"/>
      <c r="AQ631" s="7"/>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6"/>
      <c r="AC632" s="6"/>
      <c r="AD632" s="6"/>
      <c r="AE632" s="6"/>
      <c r="AF632" s="6"/>
      <c r="AG632" s="6"/>
      <c r="AH632" s="6"/>
      <c r="AI632" s="6"/>
      <c r="AJ632" s="6"/>
      <c r="AK632" s="6"/>
      <c r="AL632" s="6"/>
      <c r="AM632" s="6"/>
      <c r="AN632" s="6"/>
      <c r="AO632" s="6"/>
      <c r="AP632" s="6"/>
      <c r="AQ632" s="7"/>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6"/>
      <c r="AC633" s="6"/>
      <c r="AD633" s="6"/>
      <c r="AE633" s="6"/>
      <c r="AF633" s="6"/>
      <c r="AG633" s="6"/>
      <c r="AH633" s="6"/>
      <c r="AI633" s="6"/>
      <c r="AJ633" s="6"/>
      <c r="AK633" s="6"/>
      <c r="AL633" s="6"/>
      <c r="AM633" s="6"/>
      <c r="AN633" s="6"/>
      <c r="AO633" s="6"/>
      <c r="AP633" s="6"/>
      <c r="AQ633" s="7"/>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6"/>
      <c r="AC634" s="6"/>
      <c r="AD634" s="6"/>
      <c r="AE634" s="6"/>
      <c r="AF634" s="6"/>
      <c r="AG634" s="6"/>
      <c r="AH634" s="6"/>
      <c r="AI634" s="6"/>
      <c r="AJ634" s="6"/>
      <c r="AK634" s="6"/>
      <c r="AL634" s="6"/>
      <c r="AM634" s="6"/>
      <c r="AN634" s="6"/>
      <c r="AO634" s="6"/>
      <c r="AP634" s="6"/>
      <c r="AQ634" s="7"/>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6"/>
      <c r="AC635" s="6"/>
      <c r="AD635" s="6"/>
      <c r="AE635" s="6"/>
      <c r="AF635" s="6"/>
      <c r="AG635" s="6"/>
      <c r="AH635" s="6"/>
      <c r="AI635" s="6"/>
      <c r="AJ635" s="6"/>
      <c r="AK635" s="6"/>
      <c r="AL635" s="6"/>
      <c r="AM635" s="6"/>
      <c r="AN635" s="6"/>
      <c r="AO635" s="6"/>
      <c r="AP635" s="6"/>
      <c r="AQ635" s="7"/>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6"/>
      <c r="AC636" s="6"/>
      <c r="AD636" s="6"/>
      <c r="AE636" s="6"/>
      <c r="AF636" s="6"/>
      <c r="AG636" s="6"/>
      <c r="AH636" s="6"/>
      <c r="AI636" s="6"/>
      <c r="AJ636" s="6"/>
      <c r="AK636" s="6"/>
      <c r="AL636" s="6"/>
      <c r="AM636" s="6"/>
      <c r="AN636" s="6"/>
      <c r="AO636" s="6"/>
      <c r="AP636" s="6"/>
      <c r="AQ636" s="7"/>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6"/>
      <c r="AC637" s="6"/>
      <c r="AD637" s="6"/>
      <c r="AE637" s="6"/>
      <c r="AF637" s="6"/>
      <c r="AG637" s="6"/>
      <c r="AH637" s="6"/>
      <c r="AI637" s="6"/>
      <c r="AJ637" s="6"/>
      <c r="AK637" s="6"/>
      <c r="AL637" s="6"/>
      <c r="AM637" s="6"/>
      <c r="AN637" s="6"/>
      <c r="AO637" s="6"/>
      <c r="AP637" s="6"/>
      <c r="AQ637" s="7"/>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6"/>
      <c r="AC638" s="6"/>
      <c r="AD638" s="6"/>
      <c r="AE638" s="6"/>
      <c r="AF638" s="6"/>
      <c r="AG638" s="6"/>
      <c r="AH638" s="6"/>
      <c r="AI638" s="6"/>
      <c r="AJ638" s="6"/>
      <c r="AK638" s="6"/>
      <c r="AL638" s="6"/>
      <c r="AM638" s="6"/>
      <c r="AN638" s="6"/>
      <c r="AO638" s="6"/>
      <c r="AP638" s="6"/>
      <c r="AQ638" s="7"/>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6"/>
      <c r="AC639" s="6"/>
      <c r="AD639" s="6"/>
      <c r="AE639" s="6"/>
      <c r="AF639" s="6"/>
      <c r="AG639" s="6"/>
      <c r="AH639" s="6"/>
      <c r="AI639" s="6"/>
      <c r="AJ639" s="6"/>
      <c r="AK639" s="6"/>
      <c r="AL639" s="6"/>
      <c r="AM639" s="6"/>
      <c r="AN639" s="6"/>
      <c r="AO639" s="6"/>
      <c r="AP639" s="6"/>
      <c r="AQ639" s="7"/>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6"/>
      <c r="AC640" s="6"/>
      <c r="AD640" s="6"/>
      <c r="AE640" s="6"/>
      <c r="AF640" s="6"/>
      <c r="AG640" s="6"/>
      <c r="AH640" s="6"/>
      <c r="AI640" s="6"/>
      <c r="AJ640" s="6"/>
      <c r="AK640" s="6"/>
      <c r="AL640" s="6"/>
      <c r="AM640" s="6"/>
      <c r="AN640" s="6"/>
      <c r="AO640" s="6"/>
      <c r="AP640" s="6"/>
      <c r="AQ640" s="7"/>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6"/>
      <c r="AC641" s="6"/>
      <c r="AD641" s="6"/>
      <c r="AE641" s="6"/>
      <c r="AF641" s="6"/>
      <c r="AG641" s="6"/>
      <c r="AH641" s="6"/>
      <c r="AI641" s="6"/>
      <c r="AJ641" s="6"/>
      <c r="AK641" s="6"/>
      <c r="AL641" s="6"/>
      <c r="AM641" s="6"/>
      <c r="AN641" s="6"/>
      <c r="AO641" s="6"/>
      <c r="AP641" s="6"/>
      <c r="AQ641" s="7"/>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6"/>
      <c r="AC642" s="6"/>
      <c r="AD642" s="6"/>
      <c r="AE642" s="6"/>
      <c r="AF642" s="6"/>
      <c r="AG642" s="6"/>
      <c r="AH642" s="6"/>
      <c r="AI642" s="6"/>
      <c r="AJ642" s="6"/>
      <c r="AK642" s="6"/>
      <c r="AL642" s="6"/>
      <c r="AM642" s="6"/>
      <c r="AN642" s="6"/>
      <c r="AO642" s="6"/>
      <c r="AP642" s="6"/>
      <c r="AQ642" s="7"/>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6"/>
      <c r="AC643" s="6"/>
      <c r="AD643" s="6"/>
      <c r="AE643" s="6"/>
      <c r="AF643" s="6"/>
      <c r="AG643" s="6"/>
      <c r="AH643" s="6"/>
      <c r="AI643" s="6"/>
      <c r="AJ643" s="6"/>
      <c r="AK643" s="6"/>
      <c r="AL643" s="6"/>
      <c r="AM643" s="6"/>
      <c r="AN643" s="6"/>
      <c r="AO643" s="6"/>
      <c r="AP643" s="6"/>
      <c r="AQ643" s="7"/>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6"/>
      <c r="AC644" s="6"/>
      <c r="AD644" s="6"/>
      <c r="AE644" s="6"/>
      <c r="AF644" s="6"/>
      <c r="AG644" s="6"/>
      <c r="AH644" s="6"/>
      <c r="AI644" s="6"/>
      <c r="AJ644" s="6"/>
      <c r="AK644" s="6"/>
      <c r="AL644" s="6"/>
      <c r="AM644" s="6"/>
      <c r="AN644" s="6"/>
      <c r="AO644" s="6"/>
      <c r="AP644" s="6"/>
      <c r="AQ644" s="7"/>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6"/>
      <c r="AC645" s="6"/>
      <c r="AD645" s="6"/>
      <c r="AE645" s="6"/>
      <c r="AF645" s="6"/>
      <c r="AG645" s="6"/>
      <c r="AH645" s="6"/>
      <c r="AI645" s="6"/>
      <c r="AJ645" s="6"/>
      <c r="AK645" s="6"/>
      <c r="AL645" s="6"/>
      <c r="AM645" s="6"/>
      <c r="AN645" s="6"/>
      <c r="AO645" s="6"/>
      <c r="AP645" s="6"/>
      <c r="AQ645" s="7"/>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6"/>
      <c r="AC646" s="6"/>
      <c r="AD646" s="6"/>
      <c r="AE646" s="6"/>
      <c r="AF646" s="6"/>
      <c r="AG646" s="6"/>
      <c r="AH646" s="6"/>
      <c r="AI646" s="6"/>
      <c r="AJ646" s="6"/>
      <c r="AK646" s="6"/>
      <c r="AL646" s="6"/>
      <c r="AM646" s="6"/>
      <c r="AN646" s="6"/>
      <c r="AO646" s="6"/>
      <c r="AP646" s="6"/>
      <c r="AQ646" s="7"/>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6"/>
      <c r="AC647" s="6"/>
      <c r="AD647" s="6"/>
      <c r="AE647" s="6"/>
      <c r="AF647" s="6"/>
      <c r="AG647" s="6"/>
      <c r="AH647" s="6"/>
      <c r="AI647" s="6"/>
      <c r="AJ647" s="6"/>
      <c r="AK647" s="6"/>
      <c r="AL647" s="6"/>
      <c r="AM647" s="6"/>
      <c r="AN647" s="6"/>
      <c r="AO647" s="6"/>
      <c r="AP647" s="6"/>
      <c r="AQ647" s="7"/>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6"/>
      <c r="AC648" s="6"/>
      <c r="AD648" s="6"/>
      <c r="AE648" s="6"/>
      <c r="AF648" s="6"/>
      <c r="AG648" s="6"/>
      <c r="AH648" s="6"/>
      <c r="AI648" s="6"/>
      <c r="AJ648" s="6"/>
      <c r="AK648" s="6"/>
      <c r="AL648" s="6"/>
      <c r="AM648" s="6"/>
      <c r="AN648" s="6"/>
      <c r="AO648" s="6"/>
      <c r="AP648" s="6"/>
      <c r="AQ648" s="7"/>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6"/>
      <c r="AC649" s="6"/>
      <c r="AD649" s="6"/>
      <c r="AE649" s="6"/>
      <c r="AF649" s="6"/>
      <c r="AG649" s="6"/>
      <c r="AH649" s="6"/>
      <c r="AI649" s="6"/>
      <c r="AJ649" s="6"/>
      <c r="AK649" s="6"/>
      <c r="AL649" s="6"/>
      <c r="AM649" s="6"/>
      <c r="AN649" s="6"/>
      <c r="AO649" s="6"/>
      <c r="AP649" s="6"/>
      <c r="AQ649" s="7"/>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6"/>
      <c r="AC650" s="6"/>
      <c r="AD650" s="6"/>
      <c r="AE650" s="6"/>
      <c r="AF650" s="6"/>
      <c r="AG650" s="6"/>
      <c r="AH650" s="6"/>
      <c r="AI650" s="6"/>
      <c r="AJ650" s="6"/>
      <c r="AK650" s="6"/>
      <c r="AL650" s="6"/>
      <c r="AM650" s="6"/>
      <c r="AN650" s="6"/>
      <c r="AO650" s="6"/>
      <c r="AP650" s="6"/>
      <c r="AQ650" s="7"/>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6"/>
      <c r="AC651" s="6"/>
      <c r="AD651" s="6"/>
      <c r="AE651" s="6"/>
      <c r="AF651" s="6"/>
      <c r="AG651" s="6"/>
      <c r="AH651" s="6"/>
      <c r="AI651" s="6"/>
      <c r="AJ651" s="6"/>
      <c r="AK651" s="6"/>
      <c r="AL651" s="6"/>
      <c r="AM651" s="6"/>
      <c r="AN651" s="6"/>
      <c r="AO651" s="6"/>
      <c r="AP651" s="6"/>
      <c r="AQ651" s="7"/>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6"/>
      <c r="AC652" s="6"/>
      <c r="AD652" s="6"/>
      <c r="AE652" s="6"/>
      <c r="AF652" s="6"/>
      <c r="AG652" s="6"/>
      <c r="AH652" s="6"/>
      <c r="AI652" s="6"/>
      <c r="AJ652" s="6"/>
      <c r="AK652" s="6"/>
      <c r="AL652" s="6"/>
      <c r="AM652" s="6"/>
      <c r="AN652" s="6"/>
      <c r="AO652" s="6"/>
      <c r="AP652" s="6"/>
      <c r="AQ652" s="7"/>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6"/>
      <c r="AC653" s="6"/>
      <c r="AD653" s="6"/>
      <c r="AE653" s="6"/>
      <c r="AF653" s="6"/>
      <c r="AG653" s="6"/>
      <c r="AH653" s="6"/>
      <c r="AI653" s="6"/>
      <c r="AJ653" s="6"/>
      <c r="AK653" s="6"/>
      <c r="AL653" s="6"/>
      <c r="AM653" s="6"/>
      <c r="AN653" s="6"/>
      <c r="AO653" s="6"/>
      <c r="AP653" s="6"/>
      <c r="AQ653" s="7"/>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6"/>
      <c r="AC654" s="6"/>
      <c r="AD654" s="6"/>
      <c r="AE654" s="6"/>
      <c r="AF654" s="6"/>
      <c r="AG654" s="6"/>
      <c r="AH654" s="6"/>
      <c r="AI654" s="6"/>
      <c r="AJ654" s="6"/>
      <c r="AK654" s="6"/>
      <c r="AL654" s="6"/>
      <c r="AM654" s="6"/>
      <c r="AN654" s="6"/>
      <c r="AO654" s="6"/>
      <c r="AP654" s="6"/>
      <c r="AQ654" s="7"/>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6"/>
      <c r="AC655" s="6"/>
      <c r="AD655" s="6"/>
      <c r="AE655" s="6"/>
      <c r="AF655" s="6"/>
      <c r="AG655" s="6"/>
      <c r="AH655" s="6"/>
      <c r="AI655" s="6"/>
      <c r="AJ655" s="6"/>
      <c r="AK655" s="6"/>
      <c r="AL655" s="6"/>
      <c r="AM655" s="6"/>
      <c r="AN655" s="6"/>
      <c r="AO655" s="6"/>
      <c r="AP655" s="6"/>
      <c r="AQ655" s="7"/>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6"/>
      <c r="AC656" s="6"/>
      <c r="AD656" s="6"/>
      <c r="AE656" s="6"/>
      <c r="AF656" s="6"/>
      <c r="AG656" s="6"/>
      <c r="AH656" s="6"/>
      <c r="AI656" s="6"/>
      <c r="AJ656" s="6"/>
      <c r="AK656" s="6"/>
      <c r="AL656" s="6"/>
      <c r="AM656" s="6"/>
      <c r="AN656" s="6"/>
      <c r="AO656" s="6"/>
      <c r="AP656" s="6"/>
      <c r="AQ656" s="7"/>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6"/>
      <c r="AC657" s="6"/>
      <c r="AD657" s="6"/>
      <c r="AE657" s="6"/>
      <c r="AF657" s="6"/>
      <c r="AG657" s="6"/>
      <c r="AH657" s="6"/>
      <c r="AI657" s="6"/>
      <c r="AJ657" s="6"/>
      <c r="AK657" s="6"/>
      <c r="AL657" s="6"/>
      <c r="AM657" s="6"/>
      <c r="AN657" s="6"/>
      <c r="AO657" s="6"/>
      <c r="AP657" s="6"/>
      <c r="AQ657" s="7"/>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6"/>
      <c r="AC658" s="6"/>
      <c r="AD658" s="6"/>
      <c r="AE658" s="6"/>
      <c r="AF658" s="6"/>
      <c r="AG658" s="6"/>
      <c r="AH658" s="6"/>
      <c r="AI658" s="6"/>
      <c r="AJ658" s="6"/>
      <c r="AK658" s="6"/>
      <c r="AL658" s="6"/>
      <c r="AM658" s="6"/>
      <c r="AN658" s="6"/>
      <c r="AO658" s="6"/>
      <c r="AP658" s="6"/>
      <c r="AQ658" s="7"/>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6"/>
      <c r="AC659" s="6"/>
      <c r="AD659" s="6"/>
      <c r="AE659" s="6"/>
      <c r="AF659" s="6"/>
      <c r="AG659" s="6"/>
      <c r="AH659" s="6"/>
      <c r="AI659" s="6"/>
      <c r="AJ659" s="6"/>
      <c r="AK659" s="6"/>
      <c r="AL659" s="6"/>
      <c r="AM659" s="6"/>
      <c r="AN659" s="6"/>
      <c r="AO659" s="6"/>
      <c r="AP659" s="6"/>
      <c r="AQ659" s="7"/>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6"/>
      <c r="AC660" s="6"/>
      <c r="AD660" s="6"/>
      <c r="AE660" s="6"/>
      <c r="AF660" s="6"/>
      <c r="AG660" s="6"/>
      <c r="AH660" s="6"/>
      <c r="AI660" s="6"/>
      <c r="AJ660" s="6"/>
      <c r="AK660" s="6"/>
      <c r="AL660" s="6"/>
      <c r="AM660" s="6"/>
      <c r="AN660" s="6"/>
      <c r="AO660" s="6"/>
      <c r="AP660" s="6"/>
      <c r="AQ660" s="7"/>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6"/>
      <c r="AC661" s="6"/>
      <c r="AD661" s="6"/>
      <c r="AE661" s="6"/>
      <c r="AF661" s="6"/>
      <c r="AG661" s="6"/>
      <c r="AH661" s="6"/>
      <c r="AI661" s="6"/>
      <c r="AJ661" s="6"/>
      <c r="AK661" s="6"/>
      <c r="AL661" s="6"/>
      <c r="AM661" s="6"/>
      <c r="AN661" s="6"/>
      <c r="AO661" s="6"/>
      <c r="AP661" s="6"/>
      <c r="AQ661" s="7"/>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6"/>
      <c r="AC662" s="6"/>
      <c r="AD662" s="6"/>
      <c r="AE662" s="6"/>
      <c r="AF662" s="6"/>
      <c r="AG662" s="6"/>
      <c r="AH662" s="6"/>
      <c r="AI662" s="6"/>
      <c r="AJ662" s="6"/>
      <c r="AK662" s="6"/>
      <c r="AL662" s="6"/>
      <c r="AM662" s="6"/>
      <c r="AN662" s="6"/>
      <c r="AO662" s="6"/>
      <c r="AP662" s="6"/>
      <c r="AQ662" s="7"/>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6"/>
      <c r="AC663" s="6"/>
      <c r="AD663" s="6"/>
      <c r="AE663" s="6"/>
      <c r="AF663" s="6"/>
      <c r="AG663" s="6"/>
      <c r="AH663" s="6"/>
      <c r="AI663" s="6"/>
      <c r="AJ663" s="6"/>
      <c r="AK663" s="6"/>
      <c r="AL663" s="6"/>
      <c r="AM663" s="6"/>
      <c r="AN663" s="6"/>
      <c r="AO663" s="6"/>
      <c r="AP663" s="6"/>
      <c r="AQ663" s="7"/>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6"/>
      <c r="AC664" s="6"/>
      <c r="AD664" s="6"/>
      <c r="AE664" s="6"/>
      <c r="AF664" s="6"/>
      <c r="AG664" s="6"/>
      <c r="AH664" s="6"/>
      <c r="AI664" s="6"/>
      <c r="AJ664" s="6"/>
      <c r="AK664" s="6"/>
      <c r="AL664" s="6"/>
      <c r="AM664" s="6"/>
      <c r="AN664" s="6"/>
      <c r="AO664" s="6"/>
      <c r="AP664" s="6"/>
      <c r="AQ664" s="7"/>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6"/>
      <c r="AC665" s="6"/>
      <c r="AD665" s="6"/>
      <c r="AE665" s="6"/>
      <c r="AF665" s="6"/>
      <c r="AG665" s="6"/>
      <c r="AH665" s="6"/>
      <c r="AI665" s="6"/>
      <c r="AJ665" s="6"/>
      <c r="AK665" s="6"/>
      <c r="AL665" s="6"/>
      <c r="AM665" s="6"/>
      <c r="AN665" s="6"/>
      <c r="AO665" s="6"/>
      <c r="AP665" s="6"/>
      <c r="AQ665" s="7"/>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6"/>
      <c r="AC666" s="6"/>
      <c r="AD666" s="6"/>
      <c r="AE666" s="6"/>
      <c r="AF666" s="6"/>
      <c r="AG666" s="6"/>
      <c r="AH666" s="6"/>
      <c r="AI666" s="6"/>
      <c r="AJ666" s="6"/>
      <c r="AK666" s="6"/>
      <c r="AL666" s="6"/>
      <c r="AM666" s="6"/>
      <c r="AN666" s="6"/>
      <c r="AO666" s="6"/>
      <c r="AP666" s="6"/>
      <c r="AQ666" s="7"/>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6"/>
      <c r="AC667" s="6"/>
      <c r="AD667" s="6"/>
      <c r="AE667" s="6"/>
      <c r="AF667" s="6"/>
      <c r="AG667" s="6"/>
      <c r="AH667" s="6"/>
      <c r="AI667" s="6"/>
      <c r="AJ667" s="6"/>
      <c r="AK667" s="6"/>
      <c r="AL667" s="6"/>
      <c r="AM667" s="6"/>
      <c r="AN667" s="6"/>
      <c r="AO667" s="6"/>
      <c r="AP667" s="6"/>
      <c r="AQ667" s="7"/>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6"/>
      <c r="AC668" s="6"/>
      <c r="AD668" s="6"/>
      <c r="AE668" s="6"/>
      <c r="AF668" s="6"/>
      <c r="AG668" s="6"/>
      <c r="AH668" s="6"/>
      <c r="AI668" s="6"/>
      <c r="AJ668" s="6"/>
      <c r="AK668" s="6"/>
      <c r="AL668" s="6"/>
      <c r="AM668" s="6"/>
      <c r="AN668" s="6"/>
      <c r="AO668" s="6"/>
      <c r="AP668" s="6"/>
      <c r="AQ668" s="7"/>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6"/>
      <c r="AC669" s="6"/>
      <c r="AD669" s="6"/>
      <c r="AE669" s="6"/>
      <c r="AF669" s="6"/>
      <c r="AG669" s="6"/>
      <c r="AH669" s="6"/>
      <c r="AI669" s="6"/>
      <c r="AJ669" s="6"/>
      <c r="AK669" s="6"/>
      <c r="AL669" s="6"/>
      <c r="AM669" s="6"/>
      <c r="AN669" s="6"/>
      <c r="AO669" s="6"/>
      <c r="AP669" s="6"/>
      <c r="AQ669" s="7"/>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6"/>
      <c r="AC670" s="6"/>
      <c r="AD670" s="6"/>
      <c r="AE670" s="6"/>
      <c r="AF670" s="6"/>
      <c r="AG670" s="6"/>
      <c r="AH670" s="6"/>
      <c r="AI670" s="6"/>
      <c r="AJ670" s="6"/>
      <c r="AK670" s="6"/>
      <c r="AL670" s="6"/>
      <c r="AM670" s="6"/>
      <c r="AN670" s="6"/>
      <c r="AO670" s="6"/>
      <c r="AP670" s="6"/>
      <c r="AQ670" s="7"/>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6"/>
      <c r="AC671" s="6"/>
      <c r="AD671" s="6"/>
      <c r="AE671" s="6"/>
      <c r="AF671" s="6"/>
      <c r="AG671" s="6"/>
      <c r="AH671" s="6"/>
      <c r="AI671" s="6"/>
      <c r="AJ671" s="6"/>
      <c r="AK671" s="6"/>
      <c r="AL671" s="6"/>
      <c r="AM671" s="6"/>
      <c r="AN671" s="6"/>
      <c r="AO671" s="6"/>
      <c r="AP671" s="6"/>
      <c r="AQ671" s="7"/>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6"/>
      <c r="AC672" s="6"/>
      <c r="AD672" s="6"/>
      <c r="AE672" s="6"/>
      <c r="AF672" s="6"/>
      <c r="AG672" s="6"/>
      <c r="AH672" s="6"/>
      <c r="AI672" s="6"/>
      <c r="AJ672" s="6"/>
      <c r="AK672" s="6"/>
      <c r="AL672" s="6"/>
      <c r="AM672" s="6"/>
      <c r="AN672" s="6"/>
      <c r="AO672" s="6"/>
      <c r="AP672" s="6"/>
      <c r="AQ672" s="7"/>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6"/>
      <c r="AC673" s="6"/>
      <c r="AD673" s="6"/>
      <c r="AE673" s="6"/>
      <c r="AF673" s="6"/>
      <c r="AG673" s="6"/>
      <c r="AH673" s="6"/>
      <c r="AI673" s="6"/>
      <c r="AJ673" s="6"/>
      <c r="AK673" s="6"/>
      <c r="AL673" s="6"/>
      <c r="AM673" s="6"/>
      <c r="AN673" s="6"/>
      <c r="AO673" s="6"/>
      <c r="AP673" s="6"/>
      <c r="AQ673" s="7"/>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6"/>
      <c r="AC674" s="6"/>
      <c r="AD674" s="6"/>
      <c r="AE674" s="6"/>
      <c r="AF674" s="6"/>
      <c r="AG674" s="6"/>
      <c r="AH674" s="6"/>
      <c r="AI674" s="6"/>
      <c r="AJ674" s="6"/>
      <c r="AK674" s="6"/>
      <c r="AL674" s="6"/>
      <c r="AM674" s="6"/>
      <c r="AN674" s="6"/>
      <c r="AO674" s="6"/>
      <c r="AP674" s="6"/>
      <c r="AQ674" s="7"/>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6"/>
      <c r="AC675" s="6"/>
      <c r="AD675" s="6"/>
      <c r="AE675" s="6"/>
      <c r="AF675" s="6"/>
      <c r="AG675" s="6"/>
      <c r="AH675" s="6"/>
      <c r="AI675" s="6"/>
      <c r="AJ675" s="6"/>
      <c r="AK675" s="6"/>
      <c r="AL675" s="6"/>
      <c r="AM675" s="6"/>
      <c r="AN675" s="6"/>
      <c r="AO675" s="6"/>
      <c r="AP675" s="6"/>
      <c r="AQ675" s="7"/>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6"/>
      <c r="AC676" s="6"/>
      <c r="AD676" s="6"/>
      <c r="AE676" s="6"/>
      <c r="AF676" s="6"/>
      <c r="AG676" s="6"/>
      <c r="AH676" s="6"/>
      <c r="AI676" s="6"/>
      <c r="AJ676" s="6"/>
      <c r="AK676" s="6"/>
      <c r="AL676" s="6"/>
      <c r="AM676" s="6"/>
      <c r="AN676" s="6"/>
      <c r="AO676" s="6"/>
      <c r="AP676" s="6"/>
      <c r="AQ676" s="7"/>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6"/>
      <c r="AC677" s="6"/>
      <c r="AD677" s="6"/>
      <c r="AE677" s="6"/>
      <c r="AF677" s="6"/>
      <c r="AG677" s="6"/>
      <c r="AH677" s="6"/>
      <c r="AI677" s="6"/>
      <c r="AJ677" s="6"/>
      <c r="AK677" s="6"/>
      <c r="AL677" s="6"/>
      <c r="AM677" s="6"/>
      <c r="AN677" s="6"/>
      <c r="AO677" s="6"/>
      <c r="AP677" s="6"/>
      <c r="AQ677" s="7"/>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6"/>
      <c r="AC678" s="6"/>
      <c r="AD678" s="6"/>
      <c r="AE678" s="6"/>
      <c r="AF678" s="6"/>
      <c r="AG678" s="6"/>
      <c r="AH678" s="6"/>
      <c r="AI678" s="6"/>
      <c r="AJ678" s="6"/>
      <c r="AK678" s="6"/>
      <c r="AL678" s="6"/>
      <c r="AM678" s="6"/>
      <c r="AN678" s="6"/>
      <c r="AO678" s="6"/>
      <c r="AP678" s="6"/>
      <c r="AQ678" s="7"/>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6"/>
      <c r="AC679" s="6"/>
      <c r="AD679" s="6"/>
      <c r="AE679" s="6"/>
      <c r="AF679" s="6"/>
      <c r="AG679" s="6"/>
      <c r="AH679" s="6"/>
      <c r="AI679" s="6"/>
      <c r="AJ679" s="6"/>
      <c r="AK679" s="6"/>
      <c r="AL679" s="6"/>
      <c r="AM679" s="6"/>
      <c r="AN679" s="6"/>
      <c r="AO679" s="6"/>
      <c r="AP679" s="6"/>
      <c r="AQ679" s="7"/>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6"/>
      <c r="AC680" s="6"/>
      <c r="AD680" s="6"/>
      <c r="AE680" s="6"/>
      <c r="AF680" s="6"/>
      <c r="AG680" s="6"/>
      <c r="AH680" s="6"/>
      <c r="AI680" s="6"/>
      <c r="AJ680" s="6"/>
      <c r="AK680" s="6"/>
      <c r="AL680" s="6"/>
      <c r="AM680" s="6"/>
      <c r="AN680" s="6"/>
      <c r="AO680" s="6"/>
      <c r="AP680" s="6"/>
      <c r="AQ680" s="7"/>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6"/>
      <c r="AC681" s="6"/>
      <c r="AD681" s="6"/>
      <c r="AE681" s="6"/>
      <c r="AF681" s="6"/>
      <c r="AG681" s="6"/>
      <c r="AH681" s="6"/>
      <c r="AI681" s="6"/>
      <c r="AJ681" s="6"/>
      <c r="AK681" s="6"/>
      <c r="AL681" s="6"/>
      <c r="AM681" s="6"/>
      <c r="AN681" s="6"/>
      <c r="AO681" s="6"/>
      <c r="AP681" s="6"/>
      <c r="AQ681" s="7"/>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6"/>
      <c r="AC682" s="6"/>
      <c r="AD682" s="6"/>
      <c r="AE682" s="6"/>
      <c r="AF682" s="6"/>
      <c r="AG682" s="6"/>
      <c r="AH682" s="6"/>
      <c r="AI682" s="6"/>
      <c r="AJ682" s="6"/>
      <c r="AK682" s="6"/>
      <c r="AL682" s="6"/>
      <c r="AM682" s="6"/>
      <c r="AN682" s="6"/>
      <c r="AO682" s="6"/>
      <c r="AP682" s="6"/>
      <c r="AQ682" s="7"/>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6"/>
      <c r="AC683" s="6"/>
      <c r="AD683" s="6"/>
      <c r="AE683" s="6"/>
      <c r="AF683" s="6"/>
      <c r="AG683" s="6"/>
      <c r="AH683" s="6"/>
      <c r="AI683" s="6"/>
      <c r="AJ683" s="6"/>
      <c r="AK683" s="6"/>
      <c r="AL683" s="6"/>
      <c r="AM683" s="6"/>
      <c r="AN683" s="6"/>
      <c r="AO683" s="6"/>
      <c r="AP683" s="6"/>
      <c r="AQ683" s="7"/>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6"/>
      <c r="AC684" s="6"/>
      <c r="AD684" s="6"/>
      <c r="AE684" s="6"/>
      <c r="AF684" s="6"/>
      <c r="AG684" s="6"/>
      <c r="AH684" s="6"/>
      <c r="AI684" s="6"/>
      <c r="AJ684" s="6"/>
      <c r="AK684" s="6"/>
      <c r="AL684" s="6"/>
      <c r="AM684" s="6"/>
      <c r="AN684" s="6"/>
      <c r="AO684" s="6"/>
      <c r="AP684" s="6"/>
      <c r="AQ684" s="7"/>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6"/>
      <c r="AC685" s="6"/>
      <c r="AD685" s="6"/>
      <c r="AE685" s="6"/>
      <c r="AF685" s="6"/>
      <c r="AG685" s="6"/>
      <c r="AH685" s="6"/>
      <c r="AI685" s="6"/>
      <c r="AJ685" s="6"/>
      <c r="AK685" s="6"/>
      <c r="AL685" s="6"/>
      <c r="AM685" s="6"/>
      <c r="AN685" s="6"/>
      <c r="AO685" s="6"/>
      <c r="AP685" s="6"/>
      <c r="AQ685" s="7"/>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6"/>
      <c r="AC686" s="6"/>
      <c r="AD686" s="6"/>
      <c r="AE686" s="6"/>
      <c r="AF686" s="6"/>
      <c r="AG686" s="6"/>
      <c r="AH686" s="6"/>
      <c r="AI686" s="6"/>
      <c r="AJ686" s="6"/>
      <c r="AK686" s="6"/>
      <c r="AL686" s="6"/>
      <c r="AM686" s="6"/>
      <c r="AN686" s="6"/>
      <c r="AO686" s="6"/>
      <c r="AP686" s="6"/>
      <c r="AQ686" s="7"/>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6"/>
      <c r="AC687" s="6"/>
      <c r="AD687" s="6"/>
      <c r="AE687" s="6"/>
      <c r="AF687" s="6"/>
      <c r="AG687" s="6"/>
      <c r="AH687" s="6"/>
      <c r="AI687" s="6"/>
      <c r="AJ687" s="6"/>
      <c r="AK687" s="6"/>
      <c r="AL687" s="6"/>
      <c r="AM687" s="6"/>
      <c r="AN687" s="6"/>
      <c r="AO687" s="6"/>
      <c r="AP687" s="6"/>
      <c r="AQ687" s="7"/>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6"/>
      <c r="AC688" s="6"/>
      <c r="AD688" s="6"/>
      <c r="AE688" s="6"/>
      <c r="AF688" s="6"/>
      <c r="AG688" s="6"/>
      <c r="AH688" s="6"/>
      <c r="AI688" s="6"/>
      <c r="AJ688" s="6"/>
      <c r="AK688" s="6"/>
      <c r="AL688" s="6"/>
      <c r="AM688" s="6"/>
      <c r="AN688" s="6"/>
      <c r="AO688" s="6"/>
      <c r="AP688" s="6"/>
      <c r="AQ688" s="7"/>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6"/>
      <c r="AC689" s="6"/>
      <c r="AD689" s="6"/>
      <c r="AE689" s="6"/>
      <c r="AF689" s="6"/>
      <c r="AG689" s="6"/>
      <c r="AH689" s="6"/>
      <c r="AI689" s="6"/>
      <c r="AJ689" s="6"/>
      <c r="AK689" s="6"/>
      <c r="AL689" s="6"/>
      <c r="AM689" s="6"/>
      <c r="AN689" s="6"/>
      <c r="AO689" s="6"/>
      <c r="AP689" s="6"/>
      <c r="AQ689" s="7"/>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6"/>
      <c r="AC690" s="6"/>
      <c r="AD690" s="6"/>
      <c r="AE690" s="6"/>
      <c r="AF690" s="6"/>
      <c r="AG690" s="6"/>
      <c r="AH690" s="6"/>
      <c r="AI690" s="6"/>
      <c r="AJ690" s="6"/>
      <c r="AK690" s="6"/>
      <c r="AL690" s="6"/>
      <c r="AM690" s="6"/>
      <c r="AN690" s="6"/>
      <c r="AO690" s="6"/>
      <c r="AP690" s="6"/>
      <c r="AQ690" s="7"/>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6"/>
      <c r="AC691" s="6"/>
      <c r="AD691" s="6"/>
      <c r="AE691" s="6"/>
      <c r="AF691" s="6"/>
      <c r="AG691" s="6"/>
      <c r="AH691" s="6"/>
      <c r="AI691" s="6"/>
      <c r="AJ691" s="6"/>
      <c r="AK691" s="6"/>
      <c r="AL691" s="6"/>
      <c r="AM691" s="6"/>
      <c r="AN691" s="6"/>
      <c r="AO691" s="6"/>
      <c r="AP691" s="6"/>
      <c r="AQ691" s="7"/>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6"/>
      <c r="AC692" s="6"/>
      <c r="AD692" s="6"/>
      <c r="AE692" s="6"/>
      <c r="AF692" s="6"/>
      <c r="AG692" s="6"/>
      <c r="AH692" s="6"/>
      <c r="AI692" s="6"/>
      <c r="AJ692" s="6"/>
      <c r="AK692" s="6"/>
      <c r="AL692" s="6"/>
      <c r="AM692" s="6"/>
      <c r="AN692" s="6"/>
      <c r="AO692" s="6"/>
      <c r="AP692" s="6"/>
      <c r="AQ692" s="7"/>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6"/>
      <c r="AC693" s="6"/>
      <c r="AD693" s="6"/>
      <c r="AE693" s="6"/>
      <c r="AF693" s="6"/>
      <c r="AG693" s="6"/>
      <c r="AH693" s="6"/>
      <c r="AI693" s="6"/>
      <c r="AJ693" s="6"/>
      <c r="AK693" s="6"/>
      <c r="AL693" s="6"/>
      <c r="AM693" s="6"/>
      <c r="AN693" s="6"/>
      <c r="AO693" s="6"/>
      <c r="AP693" s="6"/>
      <c r="AQ693" s="7"/>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6"/>
      <c r="AC694" s="6"/>
      <c r="AD694" s="6"/>
      <c r="AE694" s="6"/>
      <c r="AF694" s="6"/>
      <c r="AG694" s="6"/>
      <c r="AH694" s="6"/>
      <c r="AI694" s="6"/>
      <c r="AJ694" s="6"/>
      <c r="AK694" s="6"/>
      <c r="AL694" s="6"/>
      <c r="AM694" s="6"/>
      <c r="AN694" s="6"/>
      <c r="AO694" s="6"/>
      <c r="AP694" s="6"/>
      <c r="AQ694" s="7"/>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6"/>
      <c r="AC695" s="6"/>
      <c r="AD695" s="6"/>
      <c r="AE695" s="6"/>
      <c r="AF695" s="6"/>
      <c r="AG695" s="6"/>
      <c r="AH695" s="6"/>
      <c r="AI695" s="6"/>
      <c r="AJ695" s="6"/>
      <c r="AK695" s="6"/>
      <c r="AL695" s="6"/>
      <c r="AM695" s="6"/>
      <c r="AN695" s="6"/>
      <c r="AO695" s="6"/>
      <c r="AP695" s="6"/>
      <c r="AQ695" s="7"/>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6"/>
      <c r="AC696" s="6"/>
      <c r="AD696" s="6"/>
      <c r="AE696" s="6"/>
      <c r="AF696" s="6"/>
      <c r="AG696" s="6"/>
      <c r="AH696" s="6"/>
      <c r="AI696" s="6"/>
      <c r="AJ696" s="6"/>
      <c r="AK696" s="6"/>
      <c r="AL696" s="6"/>
      <c r="AM696" s="6"/>
      <c r="AN696" s="6"/>
      <c r="AO696" s="6"/>
      <c r="AP696" s="6"/>
      <c r="AQ696" s="7"/>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6"/>
      <c r="AC697" s="6"/>
      <c r="AD697" s="6"/>
      <c r="AE697" s="6"/>
      <c r="AF697" s="6"/>
      <c r="AG697" s="6"/>
      <c r="AH697" s="6"/>
      <c r="AI697" s="6"/>
      <c r="AJ697" s="6"/>
      <c r="AK697" s="6"/>
      <c r="AL697" s="6"/>
      <c r="AM697" s="6"/>
      <c r="AN697" s="6"/>
      <c r="AO697" s="6"/>
      <c r="AP697" s="6"/>
      <c r="AQ697" s="7"/>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6"/>
      <c r="AC698" s="6"/>
      <c r="AD698" s="6"/>
      <c r="AE698" s="6"/>
      <c r="AF698" s="6"/>
      <c r="AG698" s="6"/>
      <c r="AH698" s="6"/>
      <c r="AI698" s="6"/>
      <c r="AJ698" s="6"/>
      <c r="AK698" s="6"/>
      <c r="AL698" s="6"/>
      <c r="AM698" s="6"/>
      <c r="AN698" s="6"/>
      <c r="AO698" s="6"/>
      <c r="AP698" s="6"/>
      <c r="AQ698" s="7"/>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6"/>
      <c r="AC699" s="6"/>
      <c r="AD699" s="6"/>
      <c r="AE699" s="6"/>
      <c r="AF699" s="6"/>
      <c r="AG699" s="6"/>
      <c r="AH699" s="6"/>
      <c r="AI699" s="6"/>
      <c r="AJ699" s="6"/>
      <c r="AK699" s="6"/>
      <c r="AL699" s="6"/>
      <c r="AM699" s="6"/>
      <c r="AN699" s="6"/>
      <c r="AO699" s="6"/>
      <c r="AP699" s="6"/>
      <c r="AQ699" s="7"/>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6"/>
      <c r="AC700" s="6"/>
      <c r="AD700" s="6"/>
      <c r="AE700" s="6"/>
      <c r="AF700" s="6"/>
      <c r="AG700" s="6"/>
      <c r="AH700" s="6"/>
      <c r="AI700" s="6"/>
      <c r="AJ700" s="6"/>
      <c r="AK700" s="6"/>
      <c r="AL700" s="6"/>
      <c r="AM700" s="6"/>
      <c r="AN700" s="6"/>
      <c r="AO700" s="6"/>
      <c r="AP700" s="6"/>
      <c r="AQ700" s="7"/>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6"/>
      <c r="AC701" s="6"/>
      <c r="AD701" s="6"/>
      <c r="AE701" s="6"/>
      <c r="AF701" s="6"/>
      <c r="AG701" s="6"/>
      <c r="AH701" s="6"/>
      <c r="AI701" s="6"/>
      <c r="AJ701" s="6"/>
      <c r="AK701" s="6"/>
      <c r="AL701" s="6"/>
      <c r="AM701" s="6"/>
      <c r="AN701" s="6"/>
      <c r="AO701" s="6"/>
      <c r="AP701" s="6"/>
      <c r="AQ701" s="7"/>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6"/>
      <c r="AC702" s="6"/>
      <c r="AD702" s="6"/>
      <c r="AE702" s="6"/>
      <c r="AF702" s="6"/>
      <c r="AG702" s="6"/>
      <c r="AH702" s="6"/>
      <c r="AI702" s="6"/>
      <c r="AJ702" s="6"/>
      <c r="AK702" s="6"/>
      <c r="AL702" s="6"/>
      <c r="AM702" s="6"/>
      <c r="AN702" s="6"/>
      <c r="AO702" s="6"/>
      <c r="AP702" s="6"/>
      <c r="AQ702" s="7"/>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6"/>
      <c r="AC703" s="6"/>
      <c r="AD703" s="6"/>
      <c r="AE703" s="6"/>
      <c r="AF703" s="6"/>
      <c r="AG703" s="6"/>
      <c r="AH703" s="6"/>
      <c r="AI703" s="6"/>
      <c r="AJ703" s="6"/>
      <c r="AK703" s="6"/>
      <c r="AL703" s="6"/>
      <c r="AM703" s="6"/>
      <c r="AN703" s="6"/>
      <c r="AO703" s="6"/>
      <c r="AP703" s="6"/>
      <c r="AQ703" s="7"/>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6"/>
      <c r="AC704" s="6"/>
      <c r="AD704" s="6"/>
      <c r="AE704" s="6"/>
      <c r="AF704" s="6"/>
      <c r="AG704" s="6"/>
      <c r="AH704" s="6"/>
      <c r="AI704" s="6"/>
      <c r="AJ704" s="6"/>
      <c r="AK704" s="6"/>
      <c r="AL704" s="6"/>
      <c r="AM704" s="6"/>
      <c r="AN704" s="6"/>
      <c r="AO704" s="6"/>
      <c r="AP704" s="6"/>
      <c r="AQ704" s="7"/>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6"/>
      <c r="AC705" s="6"/>
      <c r="AD705" s="6"/>
      <c r="AE705" s="6"/>
      <c r="AF705" s="6"/>
      <c r="AG705" s="6"/>
      <c r="AH705" s="6"/>
      <c r="AI705" s="6"/>
      <c r="AJ705" s="6"/>
      <c r="AK705" s="6"/>
      <c r="AL705" s="6"/>
      <c r="AM705" s="6"/>
      <c r="AN705" s="6"/>
      <c r="AO705" s="6"/>
      <c r="AP705" s="6"/>
      <c r="AQ705" s="7"/>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6"/>
      <c r="AC706" s="6"/>
      <c r="AD706" s="6"/>
      <c r="AE706" s="6"/>
      <c r="AF706" s="6"/>
      <c r="AG706" s="6"/>
      <c r="AH706" s="6"/>
      <c r="AI706" s="6"/>
      <c r="AJ706" s="6"/>
      <c r="AK706" s="6"/>
      <c r="AL706" s="6"/>
      <c r="AM706" s="6"/>
      <c r="AN706" s="6"/>
      <c r="AO706" s="6"/>
      <c r="AP706" s="6"/>
      <c r="AQ706" s="7"/>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6"/>
      <c r="AC707" s="6"/>
      <c r="AD707" s="6"/>
      <c r="AE707" s="6"/>
      <c r="AF707" s="6"/>
      <c r="AG707" s="6"/>
      <c r="AH707" s="6"/>
      <c r="AI707" s="6"/>
      <c r="AJ707" s="6"/>
      <c r="AK707" s="6"/>
      <c r="AL707" s="6"/>
      <c r="AM707" s="6"/>
      <c r="AN707" s="6"/>
      <c r="AO707" s="6"/>
      <c r="AP707" s="6"/>
      <c r="AQ707" s="7"/>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6"/>
      <c r="AC708" s="6"/>
      <c r="AD708" s="6"/>
      <c r="AE708" s="6"/>
      <c r="AF708" s="6"/>
      <c r="AG708" s="6"/>
      <c r="AH708" s="6"/>
      <c r="AI708" s="6"/>
      <c r="AJ708" s="6"/>
      <c r="AK708" s="6"/>
      <c r="AL708" s="6"/>
      <c r="AM708" s="6"/>
      <c r="AN708" s="6"/>
      <c r="AO708" s="6"/>
      <c r="AP708" s="6"/>
      <c r="AQ708" s="7"/>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6"/>
      <c r="AC709" s="6"/>
      <c r="AD709" s="6"/>
      <c r="AE709" s="6"/>
      <c r="AF709" s="6"/>
      <c r="AG709" s="6"/>
      <c r="AH709" s="6"/>
      <c r="AI709" s="6"/>
      <c r="AJ709" s="6"/>
      <c r="AK709" s="6"/>
      <c r="AL709" s="6"/>
      <c r="AM709" s="6"/>
      <c r="AN709" s="6"/>
      <c r="AO709" s="6"/>
      <c r="AP709" s="6"/>
      <c r="AQ709" s="7"/>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6"/>
      <c r="AC710" s="6"/>
      <c r="AD710" s="6"/>
      <c r="AE710" s="6"/>
      <c r="AF710" s="6"/>
      <c r="AG710" s="6"/>
      <c r="AH710" s="6"/>
      <c r="AI710" s="6"/>
      <c r="AJ710" s="6"/>
      <c r="AK710" s="6"/>
      <c r="AL710" s="6"/>
      <c r="AM710" s="6"/>
      <c r="AN710" s="6"/>
      <c r="AO710" s="6"/>
      <c r="AP710" s="6"/>
      <c r="AQ710" s="7"/>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6"/>
      <c r="AC711" s="6"/>
      <c r="AD711" s="6"/>
      <c r="AE711" s="6"/>
      <c r="AF711" s="6"/>
      <c r="AG711" s="6"/>
      <c r="AH711" s="6"/>
      <c r="AI711" s="6"/>
      <c r="AJ711" s="6"/>
      <c r="AK711" s="6"/>
      <c r="AL711" s="6"/>
      <c r="AM711" s="6"/>
      <c r="AN711" s="6"/>
      <c r="AO711" s="6"/>
      <c r="AP711" s="6"/>
      <c r="AQ711" s="7"/>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6"/>
      <c r="AC712" s="6"/>
      <c r="AD712" s="6"/>
      <c r="AE712" s="6"/>
      <c r="AF712" s="6"/>
      <c r="AG712" s="6"/>
      <c r="AH712" s="6"/>
      <c r="AI712" s="6"/>
      <c r="AJ712" s="6"/>
      <c r="AK712" s="6"/>
      <c r="AL712" s="6"/>
      <c r="AM712" s="6"/>
      <c r="AN712" s="6"/>
      <c r="AO712" s="6"/>
      <c r="AP712" s="6"/>
      <c r="AQ712" s="7"/>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6"/>
      <c r="AC713" s="6"/>
      <c r="AD713" s="6"/>
      <c r="AE713" s="6"/>
      <c r="AF713" s="6"/>
      <c r="AG713" s="6"/>
      <c r="AH713" s="6"/>
      <c r="AI713" s="6"/>
      <c r="AJ713" s="6"/>
      <c r="AK713" s="6"/>
      <c r="AL713" s="6"/>
      <c r="AM713" s="6"/>
      <c r="AN713" s="6"/>
      <c r="AO713" s="6"/>
      <c r="AP713" s="6"/>
      <c r="AQ713" s="7"/>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6"/>
      <c r="AC714" s="6"/>
      <c r="AD714" s="6"/>
      <c r="AE714" s="6"/>
      <c r="AF714" s="6"/>
      <c r="AG714" s="6"/>
      <c r="AH714" s="6"/>
      <c r="AI714" s="6"/>
      <c r="AJ714" s="6"/>
      <c r="AK714" s="6"/>
      <c r="AL714" s="6"/>
      <c r="AM714" s="6"/>
      <c r="AN714" s="6"/>
      <c r="AO714" s="6"/>
      <c r="AP714" s="6"/>
      <c r="AQ714" s="7"/>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6"/>
      <c r="AC715" s="6"/>
      <c r="AD715" s="6"/>
      <c r="AE715" s="6"/>
      <c r="AF715" s="6"/>
      <c r="AG715" s="6"/>
      <c r="AH715" s="6"/>
      <c r="AI715" s="6"/>
      <c r="AJ715" s="6"/>
      <c r="AK715" s="6"/>
      <c r="AL715" s="6"/>
      <c r="AM715" s="6"/>
      <c r="AN715" s="6"/>
      <c r="AO715" s="6"/>
      <c r="AP715" s="6"/>
      <c r="AQ715" s="7"/>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6"/>
      <c r="AC716" s="6"/>
      <c r="AD716" s="6"/>
      <c r="AE716" s="6"/>
      <c r="AF716" s="6"/>
      <c r="AG716" s="6"/>
      <c r="AH716" s="6"/>
      <c r="AI716" s="6"/>
      <c r="AJ716" s="6"/>
      <c r="AK716" s="6"/>
      <c r="AL716" s="6"/>
      <c r="AM716" s="6"/>
      <c r="AN716" s="6"/>
      <c r="AO716" s="6"/>
      <c r="AP716" s="6"/>
      <c r="AQ716" s="7"/>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6"/>
      <c r="AC717" s="6"/>
      <c r="AD717" s="6"/>
      <c r="AE717" s="6"/>
      <c r="AF717" s="6"/>
      <c r="AG717" s="6"/>
      <c r="AH717" s="6"/>
      <c r="AI717" s="6"/>
      <c r="AJ717" s="6"/>
      <c r="AK717" s="6"/>
      <c r="AL717" s="6"/>
      <c r="AM717" s="6"/>
      <c r="AN717" s="6"/>
      <c r="AO717" s="6"/>
      <c r="AP717" s="6"/>
      <c r="AQ717" s="7"/>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6"/>
      <c r="AC718" s="6"/>
      <c r="AD718" s="6"/>
      <c r="AE718" s="6"/>
      <c r="AF718" s="6"/>
      <c r="AG718" s="6"/>
      <c r="AH718" s="6"/>
      <c r="AI718" s="6"/>
      <c r="AJ718" s="6"/>
      <c r="AK718" s="6"/>
      <c r="AL718" s="6"/>
      <c r="AM718" s="6"/>
      <c r="AN718" s="6"/>
      <c r="AO718" s="6"/>
      <c r="AP718" s="6"/>
      <c r="AQ718" s="7"/>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6"/>
      <c r="AC719" s="6"/>
      <c r="AD719" s="6"/>
      <c r="AE719" s="6"/>
      <c r="AF719" s="6"/>
      <c r="AG719" s="6"/>
      <c r="AH719" s="6"/>
      <c r="AI719" s="6"/>
      <c r="AJ719" s="6"/>
      <c r="AK719" s="6"/>
      <c r="AL719" s="6"/>
      <c r="AM719" s="6"/>
      <c r="AN719" s="6"/>
      <c r="AO719" s="6"/>
      <c r="AP719" s="6"/>
      <c r="AQ719" s="7"/>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6"/>
      <c r="AC720" s="6"/>
      <c r="AD720" s="6"/>
      <c r="AE720" s="6"/>
      <c r="AF720" s="6"/>
      <c r="AG720" s="6"/>
      <c r="AH720" s="6"/>
      <c r="AI720" s="6"/>
      <c r="AJ720" s="6"/>
      <c r="AK720" s="6"/>
      <c r="AL720" s="6"/>
      <c r="AM720" s="6"/>
      <c r="AN720" s="6"/>
      <c r="AO720" s="6"/>
      <c r="AP720" s="6"/>
      <c r="AQ720" s="7"/>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6"/>
      <c r="AC721" s="6"/>
      <c r="AD721" s="6"/>
      <c r="AE721" s="6"/>
      <c r="AF721" s="6"/>
      <c r="AG721" s="6"/>
      <c r="AH721" s="6"/>
      <c r="AI721" s="6"/>
      <c r="AJ721" s="6"/>
      <c r="AK721" s="6"/>
      <c r="AL721" s="6"/>
      <c r="AM721" s="6"/>
      <c r="AN721" s="6"/>
      <c r="AO721" s="6"/>
      <c r="AP721" s="6"/>
      <c r="AQ721" s="7"/>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6"/>
      <c r="AC722" s="6"/>
      <c r="AD722" s="6"/>
      <c r="AE722" s="6"/>
      <c r="AF722" s="6"/>
      <c r="AG722" s="6"/>
      <c r="AH722" s="6"/>
      <c r="AI722" s="6"/>
      <c r="AJ722" s="6"/>
      <c r="AK722" s="6"/>
      <c r="AL722" s="6"/>
      <c r="AM722" s="6"/>
      <c r="AN722" s="6"/>
      <c r="AO722" s="6"/>
      <c r="AP722" s="6"/>
      <c r="AQ722" s="7"/>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6"/>
      <c r="AC723" s="6"/>
      <c r="AD723" s="6"/>
      <c r="AE723" s="6"/>
      <c r="AF723" s="6"/>
      <c r="AG723" s="6"/>
      <c r="AH723" s="6"/>
      <c r="AI723" s="6"/>
      <c r="AJ723" s="6"/>
      <c r="AK723" s="6"/>
      <c r="AL723" s="6"/>
      <c r="AM723" s="6"/>
      <c r="AN723" s="6"/>
      <c r="AO723" s="6"/>
      <c r="AP723" s="6"/>
      <c r="AQ723" s="7"/>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6"/>
      <c r="AC724" s="6"/>
      <c r="AD724" s="6"/>
      <c r="AE724" s="6"/>
      <c r="AF724" s="6"/>
      <c r="AG724" s="6"/>
      <c r="AH724" s="6"/>
      <c r="AI724" s="6"/>
      <c r="AJ724" s="6"/>
      <c r="AK724" s="6"/>
      <c r="AL724" s="6"/>
      <c r="AM724" s="6"/>
      <c r="AN724" s="6"/>
      <c r="AO724" s="6"/>
      <c r="AP724" s="6"/>
      <c r="AQ724" s="7"/>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6"/>
      <c r="AC725" s="6"/>
      <c r="AD725" s="6"/>
      <c r="AE725" s="6"/>
      <c r="AF725" s="6"/>
      <c r="AG725" s="6"/>
      <c r="AH725" s="6"/>
      <c r="AI725" s="6"/>
      <c r="AJ725" s="6"/>
      <c r="AK725" s="6"/>
      <c r="AL725" s="6"/>
      <c r="AM725" s="6"/>
      <c r="AN725" s="6"/>
      <c r="AO725" s="6"/>
      <c r="AP725" s="6"/>
      <c r="AQ725" s="7"/>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6"/>
      <c r="AC726" s="6"/>
      <c r="AD726" s="6"/>
      <c r="AE726" s="6"/>
      <c r="AF726" s="6"/>
      <c r="AG726" s="6"/>
      <c r="AH726" s="6"/>
      <c r="AI726" s="6"/>
      <c r="AJ726" s="6"/>
      <c r="AK726" s="6"/>
      <c r="AL726" s="6"/>
      <c r="AM726" s="6"/>
      <c r="AN726" s="6"/>
      <c r="AO726" s="6"/>
      <c r="AP726" s="6"/>
      <c r="AQ726" s="7"/>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6"/>
      <c r="AC727" s="6"/>
      <c r="AD727" s="6"/>
      <c r="AE727" s="6"/>
      <c r="AF727" s="6"/>
      <c r="AG727" s="6"/>
      <c r="AH727" s="6"/>
      <c r="AI727" s="6"/>
      <c r="AJ727" s="6"/>
      <c r="AK727" s="6"/>
      <c r="AL727" s="6"/>
      <c r="AM727" s="6"/>
      <c r="AN727" s="6"/>
      <c r="AO727" s="6"/>
      <c r="AP727" s="6"/>
      <c r="AQ727" s="7"/>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6"/>
      <c r="AC728" s="6"/>
      <c r="AD728" s="6"/>
      <c r="AE728" s="6"/>
      <c r="AF728" s="6"/>
      <c r="AG728" s="6"/>
      <c r="AH728" s="6"/>
      <c r="AI728" s="6"/>
      <c r="AJ728" s="6"/>
      <c r="AK728" s="6"/>
      <c r="AL728" s="6"/>
      <c r="AM728" s="6"/>
      <c r="AN728" s="6"/>
      <c r="AO728" s="6"/>
      <c r="AP728" s="6"/>
      <c r="AQ728" s="7"/>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6"/>
      <c r="AC729" s="6"/>
      <c r="AD729" s="6"/>
      <c r="AE729" s="6"/>
      <c r="AF729" s="6"/>
      <c r="AG729" s="6"/>
      <c r="AH729" s="6"/>
      <c r="AI729" s="6"/>
      <c r="AJ729" s="6"/>
      <c r="AK729" s="6"/>
      <c r="AL729" s="6"/>
      <c r="AM729" s="6"/>
      <c r="AN729" s="6"/>
      <c r="AO729" s="6"/>
      <c r="AP729" s="6"/>
      <c r="AQ729" s="7"/>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6"/>
      <c r="AC730" s="6"/>
      <c r="AD730" s="6"/>
      <c r="AE730" s="6"/>
      <c r="AF730" s="6"/>
      <c r="AG730" s="6"/>
      <c r="AH730" s="6"/>
      <c r="AI730" s="6"/>
      <c r="AJ730" s="6"/>
      <c r="AK730" s="6"/>
      <c r="AL730" s="6"/>
      <c r="AM730" s="6"/>
      <c r="AN730" s="6"/>
      <c r="AO730" s="6"/>
      <c r="AP730" s="6"/>
      <c r="AQ730" s="7"/>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6"/>
      <c r="AC731" s="6"/>
      <c r="AD731" s="6"/>
      <c r="AE731" s="6"/>
      <c r="AF731" s="6"/>
      <c r="AG731" s="6"/>
      <c r="AH731" s="6"/>
      <c r="AI731" s="6"/>
      <c r="AJ731" s="6"/>
      <c r="AK731" s="6"/>
      <c r="AL731" s="6"/>
      <c r="AM731" s="6"/>
      <c r="AN731" s="6"/>
      <c r="AO731" s="6"/>
      <c r="AP731" s="6"/>
      <c r="AQ731" s="7"/>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6"/>
      <c r="AC732" s="6"/>
      <c r="AD732" s="6"/>
      <c r="AE732" s="6"/>
      <c r="AF732" s="6"/>
      <c r="AG732" s="6"/>
      <c r="AH732" s="6"/>
      <c r="AI732" s="6"/>
      <c r="AJ732" s="6"/>
      <c r="AK732" s="6"/>
      <c r="AL732" s="6"/>
      <c r="AM732" s="6"/>
      <c r="AN732" s="6"/>
      <c r="AO732" s="6"/>
      <c r="AP732" s="6"/>
      <c r="AQ732" s="7"/>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6"/>
      <c r="AC733" s="6"/>
      <c r="AD733" s="6"/>
      <c r="AE733" s="6"/>
      <c r="AF733" s="6"/>
      <c r="AG733" s="6"/>
      <c r="AH733" s="6"/>
      <c r="AI733" s="6"/>
      <c r="AJ733" s="6"/>
      <c r="AK733" s="6"/>
      <c r="AL733" s="6"/>
      <c r="AM733" s="6"/>
      <c r="AN733" s="6"/>
      <c r="AO733" s="6"/>
      <c r="AP733" s="6"/>
      <c r="AQ733" s="7"/>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6"/>
      <c r="AC734" s="6"/>
      <c r="AD734" s="6"/>
      <c r="AE734" s="6"/>
      <c r="AF734" s="6"/>
      <c r="AG734" s="6"/>
      <c r="AH734" s="6"/>
      <c r="AI734" s="6"/>
      <c r="AJ734" s="6"/>
      <c r="AK734" s="6"/>
      <c r="AL734" s="6"/>
      <c r="AM734" s="6"/>
      <c r="AN734" s="6"/>
      <c r="AO734" s="6"/>
      <c r="AP734" s="6"/>
      <c r="AQ734" s="7"/>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6"/>
      <c r="AC735" s="6"/>
      <c r="AD735" s="6"/>
      <c r="AE735" s="6"/>
      <c r="AF735" s="6"/>
      <c r="AG735" s="6"/>
      <c r="AH735" s="6"/>
      <c r="AI735" s="6"/>
      <c r="AJ735" s="6"/>
      <c r="AK735" s="6"/>
      <c r="AL735" s="6"/>
      <c r="AM735" s="6"/>
      <c r="AN735" s="6"/>
      <c r="AO735" s="6"/>
      <c r="AP735" s="6"/>
      <c r="AQ735" s="7"/>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6"/>
      <c r="AC736" s="6"/>
      <c r="AD736" s="6"/>
      <c r="AE736" s="6"/>
      <c r="AF736" s="6"/>
      <c r="AG736" s="6"/>
      <c r="AH736" s="6"/>
      <c r="AI736" s="6"/>
      <c r="AJ736" s="6"/>
      <c r="AK736" s="6"/>
      <c r="AL736" s="6"/>
      <c r="AM736" s="6"/>
      <c r="AN736" s="6"/>
      <c r="AO736" s="6"/>
      <c r="AP736" s="6"/>
      <c r="AQ736" s="7"/>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6"/>
      <c r="AC737" s="6"/>
      <c r="AD737" s="6"/>
      <c r="AE737" s="6"/>
      <c r="AF737" s="6"/>
      <c r="AG737" s="6"/>
      <c r="AH737" s="6"/>
      <c r="AI737" s="6"/>
      <c r="AJ737" s="6"/>
      <c r="AK737" s="6"/>
      <c r="AL737" s="6"/>
      <c r="AM737" s="6"/>
      <c r="AN737" s="6"/>
      <c r="AO737" s="6"/>
      <c r="AP737" s="6"/>
      <c r="AQ737" s="7"/>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6"/>
      <c r="AC738" s="6"/>
      <c r="AD738" s="6"/>
      <c r="AE738" s="6"/>
      <c r="AF738" s="6"/>
      <c r="AG738" s="6"/>
      <c r="AH738" s="6"/>
      <c r="AI738" s="6"/>
      <c r="AJ738" s="6"/>
      <c r="AK738" s="6"/>
      <c r="AL738" s="6"/>
      <c r="AM738" s="6"/>
      <c r="AN738" s="6"/>
      <c r="AO738" s="6"/>
      <c r="AP738" s="6"/>
      <c r="AQ738" s="7"/>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6"/>
      <c r="AC739" s="6"/>
      <c r="AD739" s="6"/>
      <c r="AE739" s="6"/>
      <c r="AF739" s="6"/>
      <c r="AG739" s="6"/>
      <c r="AH739" s="6"/>
      <c r="AI739" s="6"/>
      <c r="AJ739" s="6"/>
      <c r="AK739" s="6"/>
      <c r="AL739" s="6"/>
      <c r="AM739" s="6"/>
      <c r="AN739" s="6"/>
      <c r="AO739" s="6"/>
      <c r="AP739" s="6"/>
      <c r="AQ739" s="7"/>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6"/>
      <c r="AC740" s="6"/>
      <c r="AD740" s="6"/>
      <c r="AE740" s="6"/>
      <c r="AF740" s="6"/>
      <c r="AG740" s="6"/>
      <c r="AH740" s="6"/>
      <c r="AI740" s="6"/>
      <c r="AJ740" s="6"/>
      <c r="AK740" s="6"/>
      <c r="AL740" s="6"/>
      <c r="AM740" s="6"/>
      <c r="AN740" s="6"/>
      <c r="AO740" s="6"/>
      <c r="AP740" s="6"/>
      <c r="AQ740" s="7"/>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6"/>
      <c r="AC741" s="6"/>
      <c r="AD741" s="6"/>
      <c r="AE741" s="6"/>
      <c r="AF741" s="6"/>
      <c r="AG741" s="6"/>
      <c r="AH741" s="6"/>
      <c r="AI741" s="6"/>
      <c r="AJ741" s="6"/>
      <c r="AK741" s="6"/>
      <c r="AL741" s="6"/>
      <c r="AM741" s="6"/>
      <c r="AN741" s="6"/>
      <c r="AO741" s="6"/>
      <c r="AP741" s="6"/>
      <c r="AQ741" s="7"/>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6"/>
      <c r="AC742" s="6"/>
      <c r="AD742" s="6"/>
      <c r="AE742" s="6"/>
      <c r="AF742" s="6"/>
      <c r="AG742" s="6"/>
      <c r="AH742" s="6"/>
      <c r="AI742" s="6"/>
      <c r="AJ742" s="6"/>
      <c r="AK742" s="6"/>
      <c r="AL742" s="6"/>
      <c r="AM742" s="6"/>
      <c r="AN742" s="6"/>
      <c r="AO742" s="6"/>
      <c r="AP742" s="6"/>
      <c r="AQ742" s="7"/>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6"/>
      <c r="AC743" s="6"/>
      <c r="AD743" s="6"/>
      <c r="AE743" s="6"/>
      <c r="AF743" s="6"/>
      <c r="AG743" s="6"/>
      <c r="AH743" s="6"/>
      <c r="AI743" s="6"/>
      <c r="AJ743" s="6"/>
      <c r="AK743" s="6"/>
      <c r="AL743" s="6"/>
      <c r="AM743" s="6"/>
      <c r="AN743" s="6"/>
      <c r="AO743" s="6"/>
      <c r="AP743" s="6"/>
      <c r="AQ743" s="7"/>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6"/>
      <c r="AC744" s="6"/>
      <c r="AD744" s="6"/>
      <c r="AE744" s="6"/>
      <c r="AF744" s="6"/>
      <c r="AG744" s="6"/>
      <c r="AH744" s="6"/>
      <c r="AI744" s="6"/>
      <c r="AJ744" s="6"/>
      <c r="AK744" s="6"/>
      <c r="AL744" s="6"/>
      <c r="AM744" s="6"/>
      <c r="AN744" s="6"/>
      <c r="AO744" s="6"/>
      <c r="AP744" s="6"/>
      <c r="AQ744" s="7"/>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6"/>
      <c r="AC745" s="6"/>
      <c r="AD745" s="6"/>
      <c r="AE745" s="6"/>
      <c r="AF745" s="6"/>
      <c r="AG745" s="6"/>
      <c r="AH745" s="6"/>
      <c r="AI745" s="6"/>
      <c r="AJ745" s="6"/>
      <c r="AK745" s="6"/>
      <c r="AL745" s="6"/>
      <c r="AM745" s="6"/>
      <c r="AN745" s="6"/>
      <c r="AO745" s="6"/>
      <c r="AP745" s="6"/>
      <c r="AQ745" s="7"/>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6"/>
      <c r="AC746" s="6"/>
      <c r="AD746" s="6"/>
      <c r="AE746" s="6"/>
      <c r="AF746" s="6"/>
      <c r="AG746" s="6"/>
      <c r="AH746" s="6"/>
      <c r="AI746" s="6"/>
      <c r="AJ746" s="6"/>
      <c r="AK746" s="6"/>
      <c r="AL746" s="6"/>
      <c r="AM746" s="6"/>
      <c r="AN746" s="6"/>
      <c r="AO746" s="6"/>
      <c r="AP746" s="6"/>
      <c r="AQ746" s="7"/>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6"/>
      <c r="AC747" s="6"/>
      <c r="AD747" s="6"/>
      <c r="AE747" s="6"/>
      <c r="AF747" s="6"/>
      <c r="AG747" s="6"/>
      <c r="AH747" s="6"/>
      <c r="AI747" s="6"/>
      <c r="AJ747" s="6"/>
      <c r="AK747" s="6"/>
      <c r="AL747" s="6"/>
      <c r="AM747" s="6"/>
      <c r="AN747" s="6"/>
      <c r="AO747" s="6"/>
      <c r="AP747" s="6"/>
      <c r="AQ747" s="7"/>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6"/>
      <c r="AC748" s="6"/>
      <c r="AD748" s="6"/>
      <c r="AE748" s="6"/>
      <c r="AF748" s="6"/>
      <c r="AG748" s="6"/>
      <c r="AH748" s="6"/>
      <c r="AI748" s="6"/>
      <c r="AJ748" s="6"/>
      <c r="AK748" s="6"/>
      <c r="AL748" s="6"/>
      <c r="AM748" s="6"/>
      <c r="AN748" s="6"/>
      <c r="AO748" s="6"/>
      <c r="AP748" s="6"/>
      <c r="AQ748" s="7"/>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6"/>
      <c r="AC749" s="6"/>
      <c r="AD749" s="6"/>
      <c r="AE749" s="6"/>
      <c r="AF749" s="6"/>
      <c r="AG749" s="6"/>
      <c r="AH749" s="6"/>
      <c r="AI749" s="6"/>
      <c r="AJ749" s="6"/>
      <c r="AK749" s="6"/>
      <c r="AL749" s="6"/>
      <c r="AM749" s="6"/>
      <c r="AN749" s="6"/>
      <c r="AO749" s="6"/>
      <c r="AP749" s="6"/>
      <c r="AQ749" s="7"/>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6"/>
      <c r="AC750" s="6"/>
      <c r="AD750" s="6"/>
      <c r="AE750" s="6"/>
      <c r="AF750" s="6"/>
      <c r="AG750" s="6"/>
      <c r="AH750" s="6"/>
      <c r="AI750" s="6"/>
      <c r="AJ750" s="6"/>
      <c r="AK750" s="6"/>
      <c r="AL750" s="6"/>
      <c r="AM750" s="6"/>
      <c r="AN750" s="6"/>
      <c r="AO750" s="6"/>
      <c r="AP750" s="6"/>
      <c r="AQ750" s="7"/>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6"/>
      <c r="AC751" s="6"/>
      <c r="AD751" s="6"/>
      <c r="AE751" s="6"/>
      <c r="AF751" s="6"/>
      <c r="AG751" s="6"/>
      <c r="AH751" s="6"/>
      <c r="AI751" s="6"/>
      <c r="AJ751" s="6"/>
      <c r="AK751" s="6"/>
      <c r="AL751" s="6"/>
      <c r="AM751" s="6"/>
      <c r="AN751" s="6"/>
      <c r="AO751" s="6"/>
      <c r="AP751" s="6"/>
      <c r="AQ751" s="7"/>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6"/>
      <c r="AC752" s="6"/>
      <c r="AD752" s="6"/>
      <c r="AE752" s="6"/>
      <c r="AF752" s="6"/>
      <c r="AG752" s="6"/>
      <c r="AH752" s="6"/>
      <c r="AI752" s="6"/>
      <c r="AJ752" s="6"/>
      <c r="AK752" s="6"/>
      <c r="AL752" s="6"/>
      <c r="AM752" s="6"/>
      <c r="AN752" s="6"/>
      <c r="AO752" s="6"/>
      <c r="AP752" s="6"/>
      <c r="AQ752" s="7"/>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6"/>
      <c r="AC753" s="6"/>
      <c r="AD753" s="6"/>
      <c r="AE753" s="6"/>
      <c r="AF753" s="6"/>
      <c r="AG753" s="6"/>
      <c r="AH753" s="6"/>
      <c r="AI753" s="6"/>
      <c r="AJ753" s="6"/>
      <c r="AK753" s="6"/>
      <c r="AL753" s="6"/>
      <c r="AM753" s="6"/>
      <c r="AN753" s="6"/>
      <c r="AO753" s="6"/>
      <c r="AP753" s="6"/>
      <c r="AQ753" s="7"/>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6"/>
      <c r="AC754" s="6"/>
      <c r="AD754" s="6"/>
      <c r="AE754" s="6"/>
      <c r="AF754" s="6"/>
      <c r="AG754" s="6"/>
      <c r="AH754" s="6"/>
      <c r="AI754" s="6"/>
      <c r="AJ754" s="6"/>
      <c r="AK754" s="6"/>
      <c r="AL754" s="6"/>
      <c r="AM754" s="6"/>
      <c r="AN754" s="6"/>
      <c r="AO754" s="6"/>
      <c r="AP754" s="6"/>
      <c r="AQ754" s="7"/>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6"/>
      <c r="AC755" s="6"/>
      <c r="AD755" s="6"/>
      <c r="AE755" s="6"/>
      <c r="AF755" s="6"/>
      <c r="AG755" s="6"/>
      <c r="AH755" s="6"/>
      <c r="AI755" s="6"/>
      <c r="AJ755" s="6"/>
      <c r="AK755" s="6"/>
      <c r="AL755" s="6"/>
      <c r="AM755" s="6"/>
      <c r="AN755" s="6"/>
      <c r="AO755" s="6"/>
      <c r="AP755" s="6"/>
      <c r="AQ755" s="7"/>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6"/>
      <c r="AC756" s="6"/>
      <c r="AD756" s="6"/>
      <c r="AE756" s="6"/>
      <c r="AF756" s="6"/>
      <c r="AG756" s="6"/>
      <c r="AH756" s="6"/>
      <c r="AI756" s="6"/>
      <c r="AJ756" s="6"/>
      <c r="AK756" s="6"/>
      <c r="AL756" s="6"/>
      <c r="AM756" s="6"/>
      <c r="AN756" s="6"/>
      <c r="AO756" s="6"/>
      <c r="AP756" s="6"/>
      <c r="AQ756" s="7"/>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6"/>
      <c r="AC757" s="6"/>
      <c r="AD757" s="6"/>
      <c r="AE757" s="6"/>
      <c r="AF757" s="6"/>
      <c r="AG757" s="6"/>
      <c r="AH757" s="6"/>
      <c r="AI757" s="6"/>
      <c r="AJ757" s="6"/>
      <c r="AK757" s="6"/>
      <c r="AL757" s="6"/>
      <c r="AM757" s="6"/>
      <c r="AN757" s="6"/>
      <c r="AO757" s="6"/>
      <c r="AP757" s="6"/>
      <c r="AQ757" s="7"/>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6"/>
      <c r="AC758" s="6"/>
      <c r="AD758" s="6"/>
      <c r="AE758" s="6"/>
      <c r="AF758" s="6"/>
      <c r="AG758" s="6"/>
      <c r="AH758" s="6"/>
      <c r="AI758" s="6"/>
      <c r="AJ758" s="6"/>
      <c r="AK758" s="6"/>
      <c r="AL758" s="6"/>
      <c r="AM758" s="6"/>
      <c r="AN758" s="6"/>
      <c r="AO758" s="6"/>
      <c r="AP758" s="6"/>
      <c r="AQ758" s="7"/>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6"/>
      <c r="AC759" s="6"/>
      <c r="AD759" s="6"/>
      <c r="AE759" s="6"/>
      <c r="AF759" s="6"/>
      <c r="AG759" s="6"/>
      <c r="AH759" s="6"/>
      <c r="AI759" s="6"/>
      <c r="AJ759" s="6"/>
      <c r="AK759" s="6"/>
      <c r="AL759" s="6"/>
      <c r="AM759" s="6"/>
      <c r="AN759" s="6"/>
      <c r="AO759" s="6"/>
      <c r="AP759" s="6"/>
      <c r="AQ759" s="7"/>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6"/>
      <c r="AC760" s="6"/>
      <c r="AD760" s="6"/>
      <c r="AE760" s="6"/>
      <c r="AF760" s="6"/>
      <c r="AG760" s="6"/>
      <c r="AH760" s="6"/>
      <c r="AI760" s="6"/>
      <c r="AJ760" s="6"/>
      <c r="AK760" s="6"/>
      <c r="AL760" s="6"/>
      <c r="AM760" s="6"/>
      <c r="AN760" s="6"/>
      <c r="AO760" s="6"/>
      <c r="AP760" s="6"/>
      <c r="AQ760" s="7"/>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6"/>
      <c r="AC761" s="6"/>
      <c r="AD761" s="6"/>
      <c r="AE761" s="6"/>
      <c r="AF761" s="6"/>
      <c r="AG761" s="6"/>
      <c r="AH761" s="6"/>
      <c r="AI761" s="6"/>
      <c r="AJ761" s="6"/>
      <c r="AK761" s="6"/>
      <c r="AL761" s="6"/>
      <c r="AM761" s="6"/>
      <c r="AN761" s="6"/>
      <c r="AO761" s="6"/>
      <c r="AP761" s="6"/>
      <c r="AQ761" s="7"/>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6"/>
      <c r="AC762" s="6"/>
      <c r="AD762" s="6"/>
      <c r="AE762" s="6"/>
      <c r="AF762" s="6"/>
      <c r="AG762" s="6"/>
      <c r="AH762" s="6"/>
      <c r="AI762" s="6"/>
      <c r="AJ762" s="6"/>
      <c r="AK762" s="6"/>
      <c r="AL762" s="6"/>
      <c r="AM762" s="6"/>
      <c r="AN762" s="6"/>
      <c r="AO762" s="6"/>
      <c r="AP762" s="6"/>
      <c r="AQ762" s="7"/>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6"/>
      <c r="AC763" s="6"/>
      <c r="AD763" s="6"/>
      <c r="AE763" s="6"/>
      <c r="AF763" s="6"/>
      <c r="AG763" s="6"/>
      <c r="AH763" s="6"/>
      <c r="AI763" s="6"/>
      <c r="AJ763" s="6"/>
      <c r="AK763" s="6"/>
      <c r="AL763" s="6"/>
      <c r="AM763" s="6"/>
      <c r="AN763" s="6"/>
      <c r="AO763" s="6"/>
      <c r="AP763" s="6"/>
      <c r="AQ763" s="7"/>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6"/>
      <c r="AC764" s="6"/>
      <c r="AD764" s="6"/>
      <c r="AE764" s="6"/>
      <c r="AF764" s="6"/>
      <c r="AG764" s="6"/>
      <c r="AH764" s="6"/>
      <c r="AI764" s="6"/>
      <c r="AJ764" s="6"/>
      <c r="AK764" s="6"/>
      <c r="AL764" s="6"/>
      <c r="AM764" s="6"/>
      <c r="AN764" s="6"/>
      <c r="AO764" s="6"/>
      <c r="AP764" s="6"/>
      <c r="AQ764" s="7"/>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6"/>
      <c r="AC765" s="6"/>
      <c r="AD765" s="6"/>
      <c r="AE765" s="6"/>
      <c r="AF765" s="6"/>
      <c r="AG765" s="6"/>
      <c r="AH765" s="6"/>
      <c r="AI765" s="6"/>
      <c r="AJ765" s="6"/>
      <c r="AK765" s="6"/>
      <c r="AL765" s="6"/>
      <c r="AM765" s="6"/>
      <c r="AN765" s="6"/>
      <c r="AO765" s="6"/>
      <c r="AP765" s="6"/>
      <c r="AQ765" s="7"/>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6"/>
      <c r="AC766" s="6"/>
      <c r="AD766" s="6"/>
      <c r="AE766" s="6"/>
      <c r="AF766" s="6"/>
      <c r="AG766" s="6"/>
      <c r="AH766" s="6"/>
      <c r="AI766" s="6"/>
      <c r="AJ766" s="6"/>
      <c r="AK766" s="6"/>
      <c r="AL766" s="6"/>
      <c r="AM766" s="6"/>
      <c r="AN766" s="6"/>
      <c r="AO766" s="6"/>
      <c r="AP766" s="6"/>
      <c r="AQ766" s="7"/>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6"/>
      <c r="AC767" s="6"/>
      <c r="AD767" s="6"/>
      <c r="AE767" s="6"/>
      <c r="AF767" s="6"/>
      <c r="AG767" s="6"/>
      <c r="AH767" s="6"/>
      <c r="AI767" s="6"/>
      <c r="AJ767" s="6"/>
      <c r="AK767" s="6"/>
      <c r="AL767" s="6"/>
      <c r="AM767" s="6"/>
      <c r="AN767" s="6"/>
      <c r="AO767" s="6"/>
      <c r="AP767" s="6"/>
      <c r="AQ767" s="7"/>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6"/>
      <c r="AC768" s="6"/>
      <c r="AD768" s="6"/>
      <c r="AE768" s="6"/>
      <c r="AF768" s="6"/>
      <c r="AG768" s="6"/>
      <c r="AH768" s="6"/>
      <c r="AI768" s="6"/>
      <c r="AJ768" s="6"/>
      <c r="AK768" s="6"/>
      <c r="AL768" s="6"/>
      <c r="AM768" s="6"/>
      <c r="AN768" s="6"/>
      <c r="AO768" s="6"/>
      <c r="AP768" s="6"/>
      <c r="AQ768" s="7"/>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6"/>
      <c r="AC769" s="6"/>
      <c r="AD769" s="6"/>
      <c r="AE769" s="6"/>
      <c r="AF769" s="6"/>
      <c r="AG769" s="6"/>
      <c r="AH769" s="6"/>
      <c r="AI769" s="6"/>
      <c r="AJ769" s="6"/>
      <c r="AK769" s="6"/>
      <c r="AL769" s="6"/>
      <c r="AM769" s="6"/>
      <c r="AN769" s="6"/>
      <c r="AO769" s="6"/>
      <c r="AP769" s="6"/>
      <c r="AQ769" s="7"/>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6"/>
      <c r="AC770" s="6"/>
      <c r="AD770" s="6"/>
      <c r="AE770" s="6"/>
      <c r="AF770" s="6"/>
      <c r="AG770" s="6"/>
      <c r="AH770" s="6"/>
      <c r="AI770" s="6"/>
      <c r="AJ770" s="6"/>
      <c r="AK770" s="6"/>
      <c r="AL770" s="6"/>
      <c r="AM770" s="6"/>
      <c r="AN770" s="6"/>
      <c r="AO770" s="6"/>
      <c r="AP770" s="6"/>
      <c r="AQ770" s="7"/>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6"/>
      <c r="AC771" s="6"/>
      <c r="AD771" s="6"/>
      <c r="AE771" s="6"/>
      <c r="AF771" s="6"/>
      <c r="AG771" s="6"/>
      <c r="AH771" s="6"/>
      <c r="AI771" s="6"/>
      <c r="AJ771" s="6"/>
      <c r="AK771" s="6"/>
      <c r="AL771" s="6"/>
      <c r="AM771" s="6"/>
      <c r="AN771" s="6"/>
      <c r="AO771" s="6"/>
      <c r="AP771" s="6"/>
      <c r="AQ771" s="7"/>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6"/>
      <c r="AC772" s="6"/>
      <c r="AD772" s="6"/>
      <c r="AE772" s="6"/>
      <c r="AF772" s="6"/>
      <c r="AG772" s="6"/>
      <c r="AH772" s="6"/>
      <c r="AI772" s="6"/>
      <c r="AJ772" s="6"/>
      <c r="AK772" s="6"/>
      <c r="AL772" s="6"/>
      <c r="AM772" s="6"/>
      <c r="AN772" s="6"/>
      <c r="AO772" s="6"/>
      <c r="AP772" s="6"/>
      <c r="AQ772" s="7"/>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6"/>
      <c r="AC773" s="6"/>
      <c r="AD773" s="6"/>
      <c r="AE773" s="6"/>
      <c r="AF773" s="6"/>
      <c r="AG773" s="6"/>
      <c r="AH773" s="6"/>
      <c r="AI773" s="6"/>
      <c r="AJ773" s="6"/>
      <c r="AK773" s="6"/>
      <c r="AL773" s="6"/>
      <c r="AM773" s="6"/>
      <c r="AN773" s="6"/>
      <c r="AO773" s="6"/>
      <c r="AP773" s="6"/>
      <c r="AQ773" s="7"/>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6"/>
      <c r="AC774" s="6"/>
      <c r="AD774" s="6"/>
      <c r="AE774" s="6"/>
      <c r="AF774" s="6"/>
      <c r="AG774" s="6"/>
      <c r="AH774" s="6"/>
      <c r="AI774" s="6"/>
      <c r="AJ774" s="6"/>
      <c r="AK774" s="6"/>
      <c r="AL774" s="6"/>
      <c r="AM774" s="6"/>
      <c r="AN774" s="6"/>
      <c r="AO774" s="6"/>
      <c r="AP774" s="6"/>
      <c r="AQ774" s="7"/>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6"/>
      <c r="AC775" s="6"/>
      <c r="AD775" s="6"/>
      <c r="AE775" s="6"/>
      <c r="AF775" s="6"/>
      <c r="AG775" s="6"/>
      <c r="AH775" s="6"/>
      <c r="AI775" s="6"/>
      <c r="AJ775" s="6"/>
      <c r="AK775" s="6"/>
      <c r="AL775" s="6"/>
      <c r="AM775" s="6"/>
      <c r="AN775" s="6"/>
      <c r="AO775" s="6"/>
      <c r="AP775" s="6"/>
      <c r="AQ775" s="7"/>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6"/>
      <c r="AC776" s="6"/>
      <c r="AD776" s="6"/>
      <c r="AE776" s="6"/>
      <c r="AF776" s="6"/>
      <c r="AG776" s="6"/>
      <c r="AH776" s="6"/>
      <c r="AI776" s="6"/>
      <c r="AJ776" s="6"/>
      <c r="AK776" s="6"/>
      <c r="AL776" s="6"/>
      <c r="AM776" s="6"/>
      <c r="AN776" s="6"/>
      <c r="AO776" s="6"/>
      <c r="AP776" s="6"/>
      <c r="AQ776" s="7"/>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6"/>
      <c r="AC777" s="6"/>
      <c r="AD777" s="6"/>
      <c r="AE777" s="6"/>
      <c r="AF777" s="6"/>
      <c r="AG777" s="6"/>
      <c r="AH777" s="6"/>
      <c r="AI777" s="6"/>
      <c r="AJ777" s="6"/>
      <c r="AK777" s="6"/>
      <c r="AL777" s="6"/>
      <c r="AM777" s="6"/>
      <c r="AN777" s="6"/>
      <c r="AO777" s="6"/>
      <c r="AP777" s="6"/>
      <c r="AQ777" s="7"/>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6"/>
      <c r="AC778" s="6"/>
      <c r="AD778" s="6"/>
      <c r="AE778" s="6"/>
      <c r="AF778" s="6"/>
      <c r="AG778" s="6"/>
      <c r="AH778" s="6"/>
      <c r="AI778" s="6"/>
      <c r="AJ778" s="6"/>
      <c r="AK778" s="6"/>
      <c r="AL778" s="6"/>
      <c r="AM778" s="6"/>
      <c r="AN778" s="6"/>
      <c r="AO778" s="6"/>
      <c r="AP778" s="6"/>
      <c r="AQ778" s="7"/>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6"/>
      <c r="AC779" s="6"/>
      <c r="AD779" s="6"/>
      <c r="AE779" s="6"/>
      <c r="AF779" s="6"/>
      <c r="AG779" s="6"/>
      <c r="AH779" s="6"/>
      <c r="AI779" s="6"/>
      <c r="AJ779" s="6"/>
      <c r="AK779" s="6"/>
      <c r="AL779" s="6"/>
      <c r="AM779" s="6"/>
      <c r="AN779" s="6"/>
      <c r="AO779" s="6"/>
      <c r="AP779" s="6"/>
      <c r="AQ779" s="7"/>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6"/>
      <c r="AC780" s="6"/>
      <c r="AD780" s="6"/>
      <c r="AE780" s="6"/>
      <c r="AF780" s="6"/>
      <c r="AG780" s="6"/>
      <c r="AH780" s="6"/>
      <c r="AI780" s="6"/>
      <c r="AJ780" s="6"/>
      <c r="AK780" s="6"/>
      <c r="AL780" s="6"/>
      <c r="AM780" s="6"/>
      <c r="AN780" s="6"/>
      <c r="AO780" s="6"/>
      <c r="AP780" s="6"/>
      <c r="AQ780" s="7"/>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6"/>
      <c r="AC781" s="6"/>
      <c r="AD781" s="6"/>
      <c r="AE781" s="6"/>
      <c r="AF781" s="6"/>
      <c r="AG781" s="6"/>
      <c r="AH781" s="6"/>
      <c r="AI781" s="6"/>
      <c r="AJ781" s="6"/>
      <c r="AK781" s="6"/>
      <c r="AL781" s="6"/>
      <c r="AM781" s="6"/>
      <c r="AN781" s="6"/>
      <c r="AO781" s="6"/>
      <c r="AP781" s="6"/>
      <c r="AQ781" s="7"/>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6"/>
      <c r="AC782" s="6"/>
      <c r="AD782" s="6"/>
      <c r="AE782" s="6"/>
      <c r="AF782" s="6"/>
      <c r="AG782" s="6"/>
      <c r="AH782" s="6"/>
      <c r="AI782" s="6"/>
      <c r="AJ782" s="6"/>
      <c r="AK782" s="6"/>
      <c r="AL782" s="6"/>
      <c r="AM782" s="6"/>
      <c r="AN782" s="6"/>
      <c r="AO782" s="6"/>
      <c r="AP782" s="6"/>
      <c r="AQ782" s="7"/>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6"/>
      <c r="AC783" s="6"/>
      <c r="AD783" s="6"/>
      <c r="AE783" s="6"/>
      <c r="AF783" s="6"/>
      <c r="AG783" s="6"/>
      <c r="AH783" s="6"/>
      <c r="AI783" s="6"/>
      <c r="AJ783" s="6"/>
      <c r="AK783" s="6"/>
      <c r="AL783" s="6"/>
      <c r="AM783" s="6"/>
      <c r="AN783" s="6"/>
      <c r="AO783" s="6"/>
      <c r="AP783" s="6"/>
      <c r="AQ783" s="7"/>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6"/>
      <c r="AC784" s="6"/>
      <c r="AD784" s="6"/>
      <c r="AE784" s="6"/>
      <c r="AF784" s="6"/>
      <c r="AG784" s="6"/>
      <c r="AH784" s="6"/>
      <c r="AI784" s="6"/>
      <c r="AJ784" s="6"/>
      <c r="AK784" s="6"/>
      <c r="AL784" s="6"/>
      <c r="AM784" s="6"/>
      <c r="AN784" s="6"/>
      <c r="AO784" s="6"/>
      <c r="AP784" s="6"/>
      <c r="AQ784" s="7"/>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6"/>
      <c r="AC785" s="6"/>
      <c r="AD785" s="6"/>
      <c r="AE785" s="6"/>
      <c r="AF785" s="6"/>
      <c r="AG785" s="6"/>
      <c r="AH785" s="6"/>
      <c r="AI785" s="6"/>
      <c r="AJ785" s="6"/>
      <c r="AK785" s="6"/>
      <c r="AL785" s="6"/>
      <c r="AM785" s="6"/>
      <c r="AN785" s="6"/>
      <c r="AO785" s="6"/>
      <c r="AP785" s="6"/>
      <c r="AQ785" s="7"/>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6"/>
      <c r="AC786" s="6"/>
      <c r="AD786" s="6"/>
      <c r="AE786" s="6"/>
      <c r="AF786" s="6"/>
      <c r="AG786" s="6"/>
      <c r="AH786" s="6"/>
      <c r="AI786" s="6"/>
      <c r="AJ786" s="6"/>
      <c r="AK786" s="6"/>
      <c r="AL786" s="6"/>
      <c r="AM786" s="6"/>
      <c r="AN786" s="6"/>
      <c r="AO786" s="6"/>
      <c r="AP786" s="6"/>
      <c r="AQ786" s="7"/>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6"/>
      <c r="AC787" s="6"/>
      <c r="AD787" s="6"/>
      <c r="AE787" s="6"/>
      <c r="AF787" s="6"/>
      <c r="AG787" s="6"/>
      <c r="AH787" s="6"/>
      <c r="AI787" s="6"/>
      <c r="AJ787" s="6"/>
      <c r="AK787" s="6"/>
      <c r="AL787" s="6"/>
      <c r="AM787" s="6"/>
      <c r="AN787" s="6"/>
      <c r="AO787" s="6"/>
      <c r="AP787" s="6"/>
      <c r="AQ787" s="7"/>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6"/>
      <c r="AC788" s="6"/>
      <c r="AD788" s="6"/>
      <c r="AE788" s="6"/>
      <c r="AF788" s="6"/>
      <c r="AG788" s="6"/>
      <c r="AH788" s="6"/>
      <c r="AI788" s="6"/>
      <c r="AJ788" s="6"/>
      <c r="AK788" s="6"/>
      <c r="AL788" s="6"/>
      <c r="AM788" s="6"/>
      <c r="AN788" s="6"/>
      <c r="AO788" s="6"/>
      <c r="AP788" s="6"/>
      <c r="AQ788" s="7"/>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6"/>
      <c r="AC789" s="6"/>
      <c r="AD789" s="6"/>
      <c r="AE789" s="6"/>
      <c r="AF789" s="6"/>
      <c r="AG789" s="6"/>
      <c r="AH789" s="6"/>
      <c r="AI789" s="6"/>
      <c r="AJ789" s="6"/>
      <c r="AK789" s="6"/>
      <c r="AL789" s="6"/>
      <c r="AM789" s="6"/>
      <c r="AN789" s="6"/>
      <c r="AO789" s="6"/>
      <c r="AP789" s="6"/>
      <c r="AQ789" s="7"/>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6"/>
      <c r="AC790" s="6"/>
      <c r="AD790" s="6"/>
      <c r="AE790" s="6"/>
      <c r="AF790" s="6"/>
      <c r="AG790" s="6"/>
      <c r="AH790" s="6"/>
      <c r="AI790" s="6"/>
      <c r="AJ790" s="6"/>
      <c r="AK790" s="6"/>
      <c r="AL790" s="6"/>
      <c r="AM790" s="6"/>
      <c r="AN790" s="6"/>
      <c r="AO790" s="6"/>
      <c r="AP790" s="6"/>
      <c r="AQ790" s="7"/>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6"/>
      <c r="AC791" s="6"/>
      <c r="AD791" s="6"/>
      <c r="AE791" s="6"/>
      <c r="AF791" s="6"/>
      <c r="AG791" s="6"/>
      <c r="AH791" s="6"/>
      <c r="AI791" s="6"/>
      <c r="AJ791" s="6"/>
      <c r="AK791" s="6"/>
      <c r="AL791" s="6"/>
      <c r="AM791" s="6"/>
      <c r="AN791" s="6"/>
      <c r="AO791" s="6"/>
      <c r="AP791" s="6"/>
      <c r="AQ791" s="7"/>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6"/>
      <c r="AC792" s="6"/>
      <c r="AD792" s="6"/>
      <c r="AE792" s="6"/>
      <c r="AF792" s="6"/>
      <c r="AG792" s="6"/>
      <c r="AH792" s="6"/>
      <c r="AI792" s="6"/>
      <c r="AJ792" s="6"/>
      <c r="AK792" s="6"/>
      <c r="AL792" s="6"/>
      <c r="AM792" s="6"/>
      <c r="AN792" s="6"/>
      <c r="AO792" s="6"/>
      <c r="AP792" s="6"/>
      <c r="AQ792" s="7"/>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6"/>
      <c r="AC793" s="6"/>
      <c r="AD793" s="6"/>
      <c r="AE793" s="6"/>
      <c r="AF793" s="6"/>
      <c r="AG793" s="6"/>
      <c r="AH793" s="6"/>
      <c r="AI793" s="6"/>
      <c r="AJ793" s="6"/>
      <c r="AK793" s="6"/>
      <c r="AL793" s="6"/>
      <c r="AM793" s="6"/>
      <c r="AN793" s="6"/>
      <c r="AO793" s="6"/>
      <c r="AP793" s="6"/>
      <c r="AQ793" s="7"/>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6"/>
      <c r="AC794" s="6"/>
      <c r="AD794" s="6"/>
      <c r="AE794" s="6"/>
      <c r="AF794" s="6"/>
      <c r="AG794" s="6"/>
      <c r="AH794" s="6"/>
      <c r="AI794" s="6"/>
      <c r="AJ794" s="6"/>
      <c r="AK794" s="6"/>
      <c r="AL794" s="6"/>
      <c r="AM794" s="6"/>
      <c r="AN794" s="6"/>
      <c r="AO794" s="6"/>
      <c r="AP794" s="6"/>
      <c r="AQ794" s="7"/>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6"/>
      <c r="AC795" s="6"/>
      <c r="AD795" s="6"/>
      <c r="AE795" s="6"/>
      <c r="AF795" s="6"/>
      <c r="AG795" s="6"/>
      <c r="AH795" s="6"/>
      <c r="AI795" s="6"/>
      <c r="AJ795" s="6"/>
      <c r="AK795" s="6"/>
      <c r="AL795" s="6"/>
      <c r="AM795" s="6"/>
      <c r="AN795" s="6"/>
      <c r="AO795" s="6"/>
      <c r="AP795" s="6"/>
      <c r="AQ795" s="7"/>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6"/>
      <c r="AC796" s="6"/>
      <c r="AD796" s="6"/>
      <c r="AE796" s="6"/>
      <c r="AF796" s="6"/>
      <c r="AG796" s="6"/>
      <c r="AH796" s="6"/>
      <c r="AI796" s="6"/>
      <c r="AJ796" s="6"/>
      <c r="AK796" s="6"/>
      <c r="AL796" s="6"/>
      <c r="AM796" s="6"/>
      <c r="AN796" s="6"/>
      <c r="AO796" s="6"/>
      <c r="AP796" s="6"/>
      <c r="AQ796" s="7"/>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6"/>
      <c r="AC797" s="6"/>
      <c r="AD797" s="6"/>
      <c r="AE797" s="6"/>
      <c r="AF797" s="6"/>
      <c r="AG797" s="6"/>
      <c r="AH797" s="6"/>
      <c r="AI797" s="6"/>
      <c r="AJ797" s="6"/>
      <c r="AK797" s="6"/>
      <c r="AL797" s="6"/>
      <c r="AM797" s="6"/>
      <c r="AN797" s="6"/>
      <c r="AO797" s="6"/>
      <c r="AP797" s="6"/>
      <c r="AQ797" s="7"/>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6"/>
      <c r="AC798" s="6"/>
      <c r="AD798" s="6"/>
      <c r="AE798" s="6"/>
      <c r="AF798" s="6"/>
      <c r="AG798" s="6"/>
      <c r="AH798" s="6"/>
      <c r="AI798" s="6"/>
      <c r="AJ798" s="6"/>
      <c r="AK798" s="6"/>
      <c r="AL798" s="6"/>
      <c r="AM798" s="6"/>
      <c r="AN798" s="6"/>
      <c r="AO798" s="6"/>
      <c r="AP798" s="6"/>
      <c r="AQ798" s="7"/>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6"/>
      <c r="AC799" s="6"/>
      <c r="AD799" s="6"/>
      <c r="AE799" s="6"/>
      <c r="AF799" s="6"/>
      <c r="AG799" s="6"/>
      <c r="AH799" s="6"/>
      <c r="AI799" s="6"/>
      <c r="AJ799" s="6"/>
      <c r="AK799" s="6"/>
      <c r="AL799" s="6"/>
      <c r="AM799" s="6"/>
      <c r="AN799" s="6"/>
      <c r="AO799" s="6"/>
      <c r="AP799" s="6"/>
      <c r="AQ799" s="7"/>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6"/>
      <c r="AC800" s="6"/>
      <c r="AD800" s="6"/>
      <c r="AE800" s="6"/>
      <c r="AF800" s="6"/>
      <c r="AG800" s="6"/>
      <c r="AH800" s="6"/>
      <c r="AI800" s="6"/>
      <c r="AJ800" s="6"/>
      <c r="AK800" s="6"/>
      <c r="AL800" s="6"/>
      <c r="AM800" s="6"/>
      <c r="AN800" s="6"/>
      <c r="AO800" s="6"/>
      <c r="AP800" s="6"/>
      <c r="AQ800" s="7"/>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6"/>
      <c r="AC801" s="6"/>
      <c r="AD801" s="6"/>
      <c r="AE801" s="6"/>
      <c r="AF801" s="6"/>
      <c r="AG801" s="6"/>
      <c r="AH801" s="6"/>
      <c r="AI801" s="6"/>
      <c r="AJ801" s="6"/>
      <c r="AK801" s="6"/>
      <c r="AL801" s="6"/>
      <c r="AM801" s="6"/>
      <c r="AN801" s="6"/>
      <c r="AO801" s="6"/>
      <c r="AP801" s="6"/>
      <c r="AQ801" s="7"/>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6"/>
      <c r="AC802" s="6"/>
      <c r="AD802" s="6"/>
      <c r="AE802" s="6"/>
      <c r="AF802" s="6"/>
      <c r="AG802" s="6"/>
      <c r="AH802" s="6"/>
      <c r="AI802" s="6"/>
      <c r="AJ802" s="6"/>
      <c r="AK802" s="6"/>
      <c r="AL802" s="6"/>
      <c r="AM802" s="6"/>
      <c r="AN802" s="6"/>
      <c r="AO802" s="6"/>
      <c r="AP802" s="6"/>
      <c r="AQ802" s="7"/>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6"/>
      <c r="AC803" s="6"/>
      <c r="AD803" s="6"/>
      <c r="AE803" s="6"/>
      <c r="AF803" s="6"/>
      <c r="AG803" s="6"/>
      <c r="AH803" s="6"/>
      <c r="AI803" s="6"/>
      <c r="AJ803" s="6"/>
      <c r="AK803" s="6"/>
      <c r="AL803" s="6"/>
      <c r="AM803" s="6"/>
      <c r="AN803" s="6"/>
      <c r="AO803" s="6"/>
      <c r="AP803" s="6"/>
      <c r="AQ803" s="7"/>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6"/>
      <c r="AC804" s="6"/>
      <c r="AD804" s="6"/>
      <c r="AE804" s="6"/>
      <c r="AF804" s="6"/>
      <c r="AG804" s="6"/>
      <c r="AH804" s="6"/>
      <c r="AI804" s="6"/>
      <c r="AJ804" s="6"/>
      <c r="AK804" s="6"/>
      <c r="AL804" s="6"/>
      <c r="AM804" s="6"/>
      <c r="AN804" s="6"/>
      <c r="AO804" s="6"/>
      <c r="AP804" s="6"/>
      <c r="AQ804" s="7"/>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6"/>
      <c r="AC805" s="6"/>
      <c r="AD805" s="6"/>
      <c r="AE805" s="6"/>
      <c r="AF805" s="6"/>
      <c r="AG805" s="6"/>
      <c r="AH805" s="6"/>
      <c r="AI805" s="6"/>
      <c r="AJ805" s="6"/>
      <c r="AK805" s="6"/>
      <c r="AL805" s="6"/>
      <c r="AM805" s="6"/>
      <c r="AN805" s="6"/>
      <c r="AO805" s="6"/>
      <c r="AP805" s="6"/>
      <c r="AQ805" s="7"/>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6"/>
      <c r="AC806" s="6"/>
      <c r="AD806" s="6"/>
      <c r="AE806" s="6"/>
      <c r="AF806" s="6"/>
      <c r="AG806" s="6"/>
      <c r="AH806" s="6"/>
      <c r="AI806" s="6"/>
      <c r="AJ806" s="6"/>
      <c r="AK806" s="6"/>
      <c r="AL806" s="6"/>
      <c r="AM806" s="6"/>
      <c r="AN806" s="6"/>
      <c r="AO806" s="6"/>
      <c r="AP806" s="6"/>
      <c r="AQ806" s="7"/>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6"/>
      <c r="AC807" s="6"/>
      <c r="AD807" s="6"/>
      <c r="AE807" s="6"/>
      <c r="AF807" s="6"/>
      <c r="AG807" s="6"/>
      <c r="AH807" s="6"/>
      <c r="AI807" s="6"/>
      <c r="AJ807" s="6"/>
      <c r="AK807" s="6"/>
      <c r="AL807" s="6"/>
      <c r="AM807" s="6"/>
      <c r="AN807" s="6"/>
      <c r="AO807" s="6"/>
      <c r="AP807" s="6"/>
      <c r="AQ807" s="7"/>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6"/>
      <c r="AC808" s="6"/>
      <c r="AD808" s="6"/>
      <c r="AE808" s="6"/>
      <c r="AF808" s="6"/>
      <c r="AG808" s="6"/>
      <c r="AH808" s="6"/>
      <c r="AI808" s="6"/>
      <c r="AJ808" s="6"/>
      <c r="AK808" s="6"/>
      <c r="AL808" s="6"/>
      <c r="AM808" s="6"/>
      <c r="AN808" s="6"/>
      <c r="AO808" s="6"/>
      <c r="AP808" s="6"/>
      <c r="AQ808" s="7"/>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6"/>
      <c r="AC809" s="6"/>
      <c r="AD809" s="6"/>
      <c r="AE809" s="6"/>
      <c r="AF809" s="6"/>
      <c r="AG809" s="6"/>
      <c r="AH809" s="6"/>
      <c r="AI809" s="6"/>
      <c r="AJ809" s="6"/>
      <c r="AK809" s="6"/>
      <c r="AL809" s="6"/>
      <c r="AM809" s="6"/>
      <c r="AN809" s="6"/>
      <c r="AO809" s="6"/>
      <c r="AP809" s="6"/>
      <c r="AQ809" s="7"/>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6"/>
      <c r="AC810" s="6"/>
      <c r="AD810" s="6"/>
      <c r="AE810" s="6"/>
      <c r="AF810" s="6"/>
      <c r="AG810" s="6"/>
      <c r="AH810" s="6"/>
      <c r="AI810" s="6"/>
      <c r="AJ810" s="6"/>
      <c r="AK810" s="6"/>
      <c r="AL810" s="6"/>
      <c r="AM810" s="6"/>
      <c r="AN810" s="6"/>
      <c r="AO810" s="6"/>
      <c r="AP810" s="6"/>
      <c r="AQ810" s="7"/>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6"/>
      <c r="AC811" s="6"/>
      <c r="AD811" s="6"/>
      <c r="AE811" s="6"/>
      <c r="AF811" s="6"/>
      <c r="AG811" s="6"/>
      <c r="AH811" s="6"/>
      <c r="AI811" s="6"/>
      <c r="AJ811" s="6"/>
      <c r="AK811" s="6"/>
      <c r="AL811" s="6"/>
      <c r="AM811" s="6"/>
      <c r="AN811" s="6"/>
      <c r="AO811" s="6"/>
      <c r="AP811" s="6"/>
      <c r="AQ811" s="7"/>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6"/>
      <c r="AC812" s="6"/>
      <c r="AD812" s="6"/>
      <c r="AE812" s="6"/>
      <c r="AF812" s="6"/>
      <c r="AG812" s="6"/>
      <c r="AH812" s="6"/>
      <c r="AI812" s="6"/>
      <c r="AJ812" s="6"/>
      <c r="AK812" s="6"/>
      <c r="AL812" s="6"/>
      <c r="AM812" s="6"/>
      <c r="AN812" s="6"/>
      <c r="AO812" s="6"/>
      <c r="AP812" s="6"/>
      <c r="AQ812" s="7"/>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6"/>
      <c r="AC813" s="6"/>
      <c r="AD813" s="6"/>
      <c r="AE813" s="6"/>
      <c r="AF813" s="6"/>
      <c r="AG813" s="6"/>
      <c r="AH813" s="6"/>
      <c r="AI813" s="6"/>
      <c r="AJ813" s="6"/>
      <c r="AK813" s="6"/>
      <c r="AL813" s="6"/>
      <c r="AM813" s="6"/>
      <c r="AN813" s="6"/>
      <c r="AO813" s="6"/>
      <c r="AP813" s="6"/>
      <c r="AQ813" s="7"/>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6"/>
      <c r="AC814" s="6"/>
      <c r="AD814" s="6"/>
      <c r="AE814" s="6"/>
      <c r="AF814" s="6"/>
      <c r="AG814" s="6"/>
      <c r="AH814" s="6"/>
      <c r="AI814" s="6"/>
      <c r="AJ814" s="6"/>
      <c r="AK814" s="6"/>
      <c r="AL814" s="6"/>
      <c r="AM814" s="6"/>
      <c r="AN814" s="6"/>
      <c r="AO814" s="6"/>
      <c r="AP814" s="6"/>
      <c r="AQ814" s="7"/>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6"/>
      <c r="AC815" s="6"/>
      <c r="AD815" s="6"/>
      <c r="AE815" s="6"/>
      <c r="AF815" s="6"/>
      <c r="AG815" s="6"/>
      <c r="AH815" s="6"/>
      <c r="AI815" s="6"/>
      <c r="AJ815" s="6"/>
      <c r="AK815" s="6"/>
      <c r="AL815" s="6"/>
      <c r="AM815" s="6"/>
      <c r="AN815" s="6"/>
      <c r="AO815" s="6"/>
      <c r="AP815" s="6"/>
      <c r="AQ815" s="7"/>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6"/>
      <c r="AC816" s="6"/>
      <c r="AD816" s="6"/>
      <c r="AE816" s="6"/>
      <c r="AF816" s="6"/>
      <c r="AG816" s="6"/>
      <c r="AH816" s="6"/>
      <c r="AI816" s="6"/>
      <c r="AJ816" s="6"/>
      <c r="AK816" s="6"/>
      <c r="AL816" s="6"/>
      <c r="AM816" s="6"/>
      <c r="AN816" s="6"/>
      <c r="AO816" s="6"/>
      <c r="AP816" s="6"/>
      <c r="AQ816" s="7"/>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6"/>
      <c r="AC817" s="6"/>
      <c r="AD817" s="6"/>
      <c r="AE817" s="6"/>
      <c r="AF817" s="6"/>
      <c r="AG817" s="6"/>
      <c r="AH817" s="6"/>
      <c r="AI817" s="6"/>
      <c r="AJ817" s="6"/>
      <c r="AK817" s="6"/>
      <c r="AL817" s="6"/>
      <c r="AM817" s="6"/>
      <c r="AN817" s="6"/>
      <c r="AO817" s="6"/>
      <c r="AP817" s="6"/>
      <c r="AQ817" s="7"/>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6"/>
      <c r="AC818" s="6"/>
      <c r="AD818" s="6"/>
      <c r="AE818" s="6"/>
      <c r="AF818" s="6"/>
      <c r="AG818" s="6"/>
      <c r="AH818" s="6"/>
      <c r="AI818" s="6"/>
      <c r="AJ818" s="6"/>
      <c r="AK818" s="6"/>
      <c r="AL818" s="6"/>
      <c r="AM818" s="6"/>
      <c r="AN818" s="6"/>
      <c r="AO818" s="6"/>
      <c r="AP818" s="6"/>
      <c r="AQ818" s="7"/>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6"/>
      <c r="AC819" s="6"/>
      <c r="AD819" s="6"/>
      <c r="AE819" s="6"/>
      <c r="AF819" s="6"/>
      <c r="AG819" s="6"/>
      <c r="AH819" s="6"/>
      <c r="AI819" s="6"/>
      <c r="AJ819" s="6"/>
      <c r="AK819" s="6"/>
      <c r="AL819" s="6"/>
      <c r="AM819" s="6"/>
      <c r="AN819" s="6"/>
      <c r="AO819" s="6"/>
      <c r="AP819" s="6"/>
      <c r="AQ819" s="7"/>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6"/>
      <c r="AC820" s="6"/>
      <c r="AD820" s="6"/>
      <c r="AE820" s="6"/>
      <c r="AF820" s="6"/>
      <c r="AG820" s="6"/>
      <c r="AH820" s="6"/>
      <c r="AI820" s="6"/>
      <c r="AJ820" s="6"/>
      <c r="AK820" s="6"/>
      <c r="AL820" s="6"/>
      <c r="AM820" s="6"/>
      <c r="AN820" s="6"/>
      <c r="AO820" s="6"/>
      <c r="AP820" s="6"/>
      <c r="AQ820" s="7"/>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6"/>
      <c r="AC821" s="6"/>
      <c r="AD821" s="6"/>
      <c r="AE821" s="6"/>
      <c r="AF821" s="6"/>
      <c r="AG821" s="6"/>
      <c r="AH821" s="6"/>
      <c r="AI821" s="6"/>
      <c r="AJ821" s="6"/>
      <c r="AK821" s="6"/>
      <c r="AL821" s="6"/>
      <c r="AM821" s="6"/>
      <c r="AN821" s="6"/>
      <c r="AO821" s="6"/>
      <c r="AP821" s="6"/>
      <c r="AQ821" s="7"/>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6"/>
      <c r="AC822" s="6"/>
      <c r="AD822" s="6"/>
      <c r="AE822" s="6"/>
      <c r="AF822" s="6"/>
      <c r="AG822" s="6"/>
      <c r="AH822" s="6"/>
      <c r="AI822" s="6"/>
      <c r="AJ822" s="6"/>
      <c r="AK822" s="6"/>
      <c r="AL822" s="6"/>
      <c r="AM822" s="6"/>
      <c r="AN822" s="6"/>
      <c r="AO822" s="6"/>
      <c r="AP822" s="6"/>
      <c r="AQ822" s="7"/>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6"/>
      <c r="AC823" s="6"/>
      <c r="AD823" s="6"/>
      <c r="AE823" s="6"/>
      <c r="AF823" s="6"/>
      <c r="AG823" s="6"/>
      <c r="AH823" s="6"/>
      <c r="AI823" s="6"/>
      <c r="AJ823" s="6"/>
      <c r="AK823" s="6"/>
      <c r="AL823" s="6"/>
      <c r="AM823" s="6"/>
      <c r="AN823" s="6"/>
      <c r="AO823" s="6"/>
      <c r="AP823" s="6"/>
      <c r="AQ823" s="7"/>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6"/>
      <c r="AC824" s="6"/>
      <c r="AD824" s="6"/>
      <c r="AE824" s="6"/>
      <c r="AF824" s="6"/>
      <c r="AG824" s="6"/>
      <c r="AH824" s="6"/>
      <c r="AI824" s="6"/>
      <c r="AJ824" s="6"/>
      <c r="AK824" s="6"/>
      <c r="AL824" s="6"/>
      <c r="AM824" s="6"/>
      <c r="AN824" s="6"/>
      <c r="AO824" s="6"/>
      <c r="AP824" s="6"/>
      <c r="AQ824" s="7"/>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6"/>
      <c r="AC825" s="6"/>
      <c r="AD825" s="6"/>
      <c r="AE825" s="6"/>
      <c r="AF825" s="6"/>
      <c r="AG825" s="6"/>
      <c r="AH825" s="6"/>
      <c r="AI825" s="6"/>
      <c r="AJ825" s="6"/>
      <c r="AK825" s="6"/>
      <c r="AL825" s="6"/>
      <c r="AM825" s="6"/>
      <c r="AN825" s="6"/>
      <c r="AO825" s="6"/>
      <c r="AP825" s="6"/>
      <c r="AQ825" s="7"/>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6"/>
      <c r="AC826" s="6"/>
      <c r="AD826" s="6"/>
      <c r="AE826" s="6"/>
      <c r="AF826" s="6"/>
      <c r="AG826" s="6"/>
      <c r="AH826" s="6"/>
      <c r="AI826" s="6"/>
      <c r="AJ826" s="6"/>
      <c r="AK826" s="6"/>
      <c r="AL826" s="6"/>
      <c r="AM826" s="6"/>
      <c r="AN826" s="6"/>
      <c r="AO826" s="6"/>
      <c r="AP826" s="6"/>
      <c r="AQ826" s="7"/>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6"/>
      <c r="AC827" s="6"/>
      <c r="AD827" s="6"/>
      <c r="AE827" s="6"/>
      <c r="AF827" s="6"/>
      <c r="AG827" s="6"/>
      <c r="AH827" s="6"/>
      <c r="AI827" s="6"/>
      <c r="AJ827" s="6"/>
      <c r="AK827" s="6"/>
      <c r="AL827" s="6"/>
      <c r="AM827" s="6"/>
      <c r="AN827" s="6"/>
      <c r="AO827" s="6"/>
      <c r="AP827" s="6"/>
      <c r="AQ827" s="7"/>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6"/>
      <c r="AC828" s="6"/>
      <c r="AD828" s="6"/>
      <c r="AE828" s="6"/>
      <c r="AF828" s="6"/>
      <c r="AG828" s="6"/>
      <c r="AH828" s="6"/>
      <c r="AI828" s="6"/>
      <c r="AJ828" s="6"/>
      <c r="AK828" s="6"/>
      <c r="AL828" s="6"/>
      <c r="AM828" s="6"/>
      <c r="AN828" s="6"/>
      <c r="AO828" s="6"/>
      <c r="AP828" s="6"/>
      <c r="AQ828" s="7"/>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6"/>
      <c r="AC829" s="6"/>
      <c r="AD829" s="6"/>
      <c r="AE829" s="6"/>
      <c r="AF829" s="6"/>
      <c r="AG829" s="6"/>
      <c r="AH829" s="6"/>
      <c r="AI829" s="6"/>
      <c r="AJ829" s="6"/>
      <c r="AK829" s="6"/>
      <c r="AL829" s="6"/>
      <c r="AM829" s="6"/>
      <c r="AN829" s="6"/>
      <c r="AO829" s="6"/>
      <c r="AP829" s="6"/>
      <c r="AQ829" s="7"/>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6"/>
      <c r="AC830" s="6"/>
      <c r="AD830" s="6"/>
      <c r="AE830" s="6"/>
      <c r="AF830" s="6"/>
      <c r="AG830" s="6"/>
      <c r="AH830" s="6"/>
      <c r="AI830" s="6"/>
      <c r="AJ830" s="6"/>
      <c r="AK830" s="6"/>
      <c r="AL830" s="6"/>
      <c r="AM830" s="6"/>
      <c r="AN830" s="6"/>
      <c r="AO830" s="6"/>
      <c r="AP830" s="6"/>
      <c r="AQ830" s="7"/>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6"/>
      <c r="AC831" s="6"/>
      <c r="AD831" s="6"/>
      <c r="AE831" s="6"/>
      <c r="AF831" s="6"/>
      <c r="AG831" s="6"/>
      <c r="AH831" s="6"/>
      <c r="AI831" s="6"/>
      <c r="AJ831" s="6"/>
      <c r="AK831" s="6"/>
      <c r="AL831" s="6"/>
      <c r="AM831" s="6"/>
      <c r="AN831" s="6"/>
      <c r="AO831" s="6"/>
      <c r="AP831" s="6"/>
      <c r="AQ831" s="7"/>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6"/>
      <c r="AC832" s="6"/>
      <c r="AD832" s="6"/>
      <c r="AE832" s="6"/>
      <c r="AF832" s="6"/>
      <c r="AG832" s="6"/>
      <c r="AH832" s="6"/>
      <c r="AI832" s="6"/>
      <c r="AJ832" s="6"/>
      <c r="AK832" s="6"/>
      <c r="AL832" s="6"/>
      <c r="AM832" s="6"/>
      <c r="AN832" s="6"/>
      <c r="AO832" s="6"/>
      <c r="AP832" s="6"/>
      <c r="AQ832" s="7"/>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6"/>
      <c r="AC833" s="6"/>
      <c r="AD833" s="6"/>
      <c r="AE833" s="6"/>
      <c r="AF833" s="6"/>
      <c r="AG833" s="6"/>
      <c r="AH833" s="6"/>
      <c r="AI833" s="6"/>
      <c r="AJ833" s="6"/>
      <c r="AK833" s="6"/>
      <c r="AL833" s="6"/>
      <c r="AM833" s="6"/>
      <c r="AN833" s="6"/>
      <c r="AO833" s="6"/>
      <c r="AP833" s="6"/>
      <c r="AQ833" s="7"/>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6"/>
      <c r="AC834" s="6"/>
      <c r="AD834" s="6"/>
      <c r="AE834" s="6"/>
      <c r="AF834" s="6"/>
      <c r="AG834" s="6"/>
      <c r="AH834" s="6"/>
      <c r="AI834" s="6"/>
      <c r="AJ834" s="6"/>
      <c r="AK834" s="6"/>
      <c r="AL834" s="6"/>
      <c r="AM834" s="6"/>
      <c r="AN834" s="6"/>
      <c r="AO834" s="6"/>
      <c r="AP834" s="6"/>
      <c r="AQ834" s="7"/>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6"/>
      <c r="AC835" s="6"/>
      <c r="AD835" s="6"/>
      <c r="AE835" s="6"/>
      <c r="AF835" s="6"/>
      <c r="AG835" s="6"/>
      <c r="AH835" s="6"/>
      <c r="AI835" s="6"/>
      <c r="AJ835" s="6"/>
      <c r="AK835" s="6"/>
      <c r="AL835" s="6"/>
      <c r="AM835" s="6"/>
      <c r="AN835" s="6"/>
      <c r="AO835" s="6"/>
      <c r="AP835" s="6"/>
      <c r="AQ835" s="7"/>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6"/>
      <c r="AC836" s="6"/>
      <c r="AD836" s="6"/>
      <c r="AE836" s="6"/>
      <c r="AF836" s="6"/>
      <c r="AG836" s="6"/>
      <c r="AH836" s="6"/>
      <c r="AI836" s="6"/>
      <c r="AJ836" s="6"/>
      <c r="AK836" s="6"/>
      <c r="AL836" s="6"/>
      <c r="AM836" s="6"/>
      <c r="AN836" s="6"/>
      <c r="AO836" s="6"/>
      <c r="AP836" s="6"/>
      <c r="AQ836" s="7"/>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6"/>
      <c r="AC837" s="6"/>
      <c r="AD837" s="6"/>
      <c r="AE837" s="6"/>
      <c r="AF837" s="6"/>
      <c r="AG837" s="6"/>
      <c r="AH837" s="6"/>
      <c r="AI837" s="6"/>
      <c r="AJ837" s="6"/>
      <c r="AK837" s="6"/>
      <c r="AL837" s="6"/>
      <c r="AM837" s="6"/>
      <c r="AN837" s="6"/>
      <c r="AO837" s="6"/>
      <c r="AP837" s="6"/>
      <c r="AQ837" s="7"/>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6"/>
      <c r="AC838" s="6"/>
      <c r="AD838" s="6"/>
      <c r="AE838" s="6"/>
      <c r="AF838" s="6"/>
      <c r="AG838" s="6"/>
      <c r="AH838" s="6"/>
      <c r="AI838" s="6"/>
      <c r="AJ838" s="6"/>
      <c r="AK838" s="6"/>
      <c r="AL838" s="6"/>
      <c r="AM838" s="6"/>
      <c r="AN838" s="6"/>
      <c r="AO838" s="6"/>
      <c r="AP838" s="6"/>
      <c r="AQ838" s="7"/>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6"/>
      <c r="AC839" s="6"/>
      <c r="AD839" s="6"/>
      <c r="AE839" s="6"/>
      <c r="AF839" s="6"/>
      <c r="AG839" s="6"/>
      <c r="AH839" s="6"/>
      <c r="AI839" s="6"/>
      <c r="AJ839" s="6"/>
      <c r="AK839" s="6"/>
      <c r="AL839" s="6"/>
      <c r="AM839" s="6"/>
      <c r="AN839" s="6"/>
      <c r="AO839" s="6"/>
      <c r="AP839" s="6"/>
      <c r="AQ839" s="7"/>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6"/>
      <c r="AC840" s="6"/>
      <c r="AD840" s="6"/>
      <c r="AE840" s="6"/>
      <c r="AF840" s="6"/>
      <c r="AG840" s="6"/>
      <c r="AH840" s="6"/>
      <c r="AI840" s="6"/>
      <c r="AJ840" s="6"/>
      <c r="AK840" s="6"/>
      <c r="AL840" s="6"/>
      <c r="AM840" s="6"/>
      <c r="AN840" s="6"/>
      <c r="AO840" s="6"/>
      <c r="AP840" s="6"/>
      <c r="AQ840" s="7"/>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6"/>
      <c r="AC841" s="6"/>
      <c r="AD841" s="6"/>
      <c r="AE841" s="6"/>
      <c r="AF841" s="6"/>
      <c r="AG841" s="6"/>
      <c r="AH841" s="6"/>
      <c r="AI841" s="6"/>
      <c r="AJ841" s="6"/>
      <c r="AK841" s="6"/>
      <c r="AL841" s="6"/>
      <c r="AM841" s="6"/>
      <c r="AN841" s="6"/>
      <c r="AO841" s="6"/>
      <c r="AP841" s="6"/>
      <c r="AQ841" s="7"/>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6"/>
      <c r="AC842" s="6"/>
      <c r="AD842" s="6"/>
      <c r="AE842" s="6"/>
      <c r="AF842" s="6"/>
      <c r="AG842" s="6"/>
      <c r="AH842" s="6"/>
      <c r="AI842" s="6"/>
      <c r="AJ842" s="6"/>
      <c r="AK842" s="6"/>
      <c r="AL842" s="6"/>
      <c r="AM842" s="6"/>
      <c r="AN842" s="6"/>
      <c r="AO842" s="6"/>
      <c r="AP842" s="6"/>
      <c r="AQ842" s="7"/>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6"/>
      <c r="AC843" s="6"/>
      <c r="AD843" s="6"/>
      <c r="AE843" s="6"/>
      <c r="AF843" s="6"/>
      <c r="AG843" s="6"/>
      <c r="AH843" s="6"/>
      <c r="AI843" s="6"/>
      <c r="AJ843" s="6"/>
      <c r="AK843" s="6"/>
      <c r="AL843" s="6"/>
      <c r="AM843" s="6"/>
      <c r="AN843" s="6"/>
      <c r="AO843" s="6"/>
      <c r="AP843" s="6"/>
      <c r="AQ843" s="7"/>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6"/>
      <c r="AC844" s="6"/>
      <c r="AD844" s="6"/>
      <c r="AE844" s="6"/>
      <c r="AF844" s="6"/>
      <c r="AG844" s="6"/>
      <c r="AH844" s="6"/>
      <c r="AI844" s="6"/>
      <c r="AJ844" s="6"/>
      <c r="AK844" s="6"/>
      <c r="AL844" s="6"/>
      <c r="AM844" s="6"/>
      <c r="AN844" s="6"/>
      <c r="AO844" s="6"/>
      <c r="AP844" s="6"/>
      <c r="AQ844" s="7"/>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6"/>
      <c r="AC845" s="6"/>
      <c r="AD845" s="6"/>
      <c r="AE845" s="6"/>
      <c r="AF845" s="6"/>
      <c r="AG845" s="6"/>
      <c r="AH845" s="6"/>
      <c r="AI845" s="6"/>
      <c r="AJ845" s="6"/>
      <c r="AK845" s="6"/>
      <c r="AL845" s="6"/>
      <c r="AM845" s="6"/>
      <c r="AN845" s="6"/>
      <c r="AO845" s="6"/>
      <c r="AP845" s="6"/>
      <c r="AQ845" s="7"/>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6"/>
      <c r="AC846" s="6"/>
      <c r="AD846" s="6"/>
      <c r="AE846" s="6"/>
      <c r="AF846" s="6"/>
      <c r="AG846" s="6"/>
      <c r="AH846" s="6"/>
      <c r="AI846" s="6"/>
      <c r="AJ846" s="6"/>
      <c r="AK846" s="6"/>
      <c r="AL846" s="6"/>
      <c r="AM846" s="6"/>
      <c r="AN846" s="6"/>
      <c r="AO846" s="6"/>
      <c r="AP846" s="6"/>
      <c r="AQ846" s="7"/>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6"/>
      <c r="AC847" s="6"/>
      <c r="AD847" s="6"/>
      <c r="AE847" s="6"/>
      <c r="AF847" s="6"/>
      <c r="AG847" s="6"/>
      <c r="AH847" s="6"/>
      <c r="AI847" s="6"/>
      <c r="AJ847" s="6"/>
      <c r="AK847" s="6"/>
      <c r="AL847" s="6"/>
      <c r="AM847" s="6"/>
      <c r="AN847" s="6"/>
      <c r="AO847" s="6"/>
      <c r="AP847" s="6"/>
      <c r="AQ847" s="7"/>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6"/>
      <c r="AC848" s="6"/>
      <c r="AD848" s="6"/>
      <c r="AE848" s="6"/>
      <c r="AF848" s="6"/>
      <c r="AG848" s="6"/>
      <c r="AH848" s="6"/>
      <c r="AI848" s="6"/>
      <c r="AJ848" s="6"/>
      <c r="AK848" s="6"/>
      <c r="AL848" s="6"/>
      <c r="AM848" s="6"/>
      <c r="AN848" s="6"/>
      <c r="AO848" s="6"/>
      <c r="AP848" s="6"/>
      <c r="AQ848" s="7"/>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6"/>
      <c r="AC849" s="6"/>
      <c r="AD849" s="6"/>
      <c r="AE849" s="6"/>
      <c r="AF849" s="6"/>
      <c r="AG849" s="6"/>
      <c r="AH849" s="6"/>
      <c r="AI849" s="6"/>
      <c r="AJ849" s="6"/>
      <c r="AK849" s="6"/>
      <c r="AL849" s="6"/>
      <c r="AM849" s="6"/>
      <c r="AN849" s="6"/>
      <c r="AO849" s="6"/>
      <c r="AP849" s="6"/>
      <c r="AQ849" s="7"/>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6"/>
      <c r="AC850" s="6"/>
      <c r="AD850" s="6"/>
      <c r="AE850" s="6"/>
      <c r="AF850" s="6"/>
      <c r="AG850" s="6"/>
      <c r="AH850" s="6"/>
      <c r="AI850" s="6"/>
      <c r="AJ850" s="6"/>
      <c r="AK850" s="6"/>
      <c r="AL850" s="6"/>
      <c r="AM850" s="6"/>
      <c r="AN850" s="6"/>
      <c r="AO850" s="6"/>
      <c r="AP850" s="6"/>
      <c r="AQ850" s="7"/>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6"/>
      <c r="AC851" s="6"/>
      <c r="AD851" s="6"/>
      <c r="AE851" s="6"/>
      <c r="AF851" s="6"/>
      <c r="AG851" s="6"/>
      <c r="AH851" s="6"/>
      <c r="AI851" s="6"/>
      <c r="AJ851" s="6"/>
      <c r="AK851" s="6"/>
      <c r="AL851" s="6"/>
      <c r="AM851" s="6"/>
      <c r="AN851" s="6"/>
      <c r="AO851" s="6"/>
      <c r="AP851" s="6"/>
      <c r="AQ851" s="7"/>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6"/>
      <c r="AC852" s="6"/>
      <c r="AD852" s="6"/>
      <c r="AE852" s="6"/>
      <c r="AF852" s="6"/>
      <c r="AG852" s="6"/>
      <c r="AH852" s="6"/>
      <c r="AI852" s="6"/>
      <c r="AJ852" s="6"/>
      <c r="AK852" s="6"/>
      <c r="AL852" s="6"/>
      <c r="AM852" s="6"/>
      <c r="AN852" s="6"/>
      <c r="AO852" s="6"/>
      <c r="AP852" s="6"/>
      <c r="AQ852" s="7"/>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6"/>
      <c r="AC853" s="6"/>
      <c r="AD853" s="6"/>
      <c r="AE853" s="6"/>
      <c r="AF853" s="6"/>
      <c r="AG853" s="6"/>
      <c r="AH853" s="6"/>
      <c r="AI853" s="6"/>
      <c r="AJ853" s="6"/>
      <c r="AK853" s="6"/>
      <c r="AL853" s="6"/>
      <c r="AM853" s="6"/>
      <c r="AN853" s="6"/>
      <c r="AO853" s="6"/>
      <c r="AP853" s="6"/>
      <c r="AQ853" s="7"/>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6"/>
      <c r="AC854" s="6"/>
      <c r="AD854" s="6"/>
      <c r="AE854" s="6"/>
      <c r="AF854" s="6"/>
      <c r="AG854" s="6"/>
      <c r="AH854" s="6"/>
      <c r="AI854" s="6"/>
      <c r="AJ854" s="6"/>
      <c r="AK854" s="6"/>
      <c r="AL854" s="6"/>
      <c r="AM854" s="6"/>
      <c r="AN854" s="6"/>
      <c r="AO854" s="6"/>
      <c r="AP854" s="6"/>
      <c r="AQ854" s="7"/>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6"/>
      <c r="AC855" s="6"/>
      <c r="AD855" s="6"/>
      <c r="AE855" s="6"/>
      <c r="AF855" s="6"/>
      <c r="AG855" s="6"/>
      <c r="AH855" s="6"/>
      <c r="AI855" s="6"/>
      <c r="AJ855" s="6"/>
      <c r="AK855" s="6"/>
      <c r="AL855" s="6"/>
      <c r="AM855" s="6"/>
      <c r="AN855" s="6"/>
      <c r="AO855" s="6"/>
      <c r="AP855" s="6"/>
      <c r="AQ855" s="7"/>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6"/>
      <c r="AC856" s="6"/>
      <c r="AD856" s="6"/>
      <c r="AE856" s="6"/>
      <c r="AF856" s="6"/>
      <c r="AG856" s="6"/>
      <c r="AH856" s="6"/>
      <c r="AI856" s="6"/>
      <c r="AJ856" s="6"/>
      <c r="AK856" s="6"/>
      <c r="AL856" s="6"/>
      <c r="AM856" s="6"/>
      <c r="AN856" s="6"/>
      <c r="AO856" s="6"/>
      <c r="AP856" s="6"/>
      <c r="AQ856" s="7"/>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6"/>
      <c r="AC857" s="6"/>
      <c r="AD857" s="6"/>
      <c r="AE857" s="6"/>
      <c r="AF857" s="6"/>
      <c r="AG857" s="6"/>
      <c r="AH857" s="6"/>
      <c r="AI857" s="6"/>
      <c r="AJ857" s="6"/>
      <c r="AK857" s="6"/>
      <c r="AL857" s="6"/>
      <c r="AM857" s="6"/>
      <c r="AN857" s="6"/>
      <c r="AO857" s="6"/>
      <c r="AP857" s="6"/>
      <c r="AQ857" s="7"/>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6"/>
      <c r="AC858" s="6"/>
      <c r="AD858" s="6"/>
      <c r="AE858" s="6"/>
      <c r="AF858" s="6"/>
      <c r="AG858" s="6"/>
      <c r="AH858" s="6"/>
      <c r="AI858" s="6"/>
      <c r="AJ858" s="6"/>
      <c r="AK858" s="6"/>
      <c r="AL858" s="6"/>
      <c r="AM858" s="6"/>
      <c r="AN858" s="6"/>
      <c r="AO858" s="6"/>
      <c r="AP858" s="6"/>
      <c r="AQ858" s="7"/>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6"/>
      <c r="AC859" s="6"/>
      <c r="AD859" s="6"/>
      <c r="AE859" s="6"/>
      <c r="AF859" s="6"/>
      <c r="AG859" s="6"/>
      <c r="AH859" s="6"/>
      <c r="AI859" s="6"/>
      <c r="AJ859" s="6"/>
      <c r="AK859" s="6"/>
      <c r="AL859" s="6"/>
      <c r="AM859" s="6"/>
      <c r="AN859" s="6"/>
      <c r="AO859" s="6"/>
      <c r="AP859" s="6"/>
      <c r="AQ859" s="7"/>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6"/>
      <c r="AC860" s="6"/>
      <c r="AD860" s="6"/>
      <c r="AE860" s="6"/>
      <c r="AF860" s="6"/>
      <c r="AG860" s="6"/>
      <c r="AH860" s="6"/>
      <c r="AI860" s="6"/>
      <c r="AJ860" s="6"/>
      <c r="AK860" s="6"/>
      <c r="AL860" s="6"/>
      <c r="AM860" s="6"/>
      <c r="AN860" s="6"/>
      <c r="AO860" s="6"/>
      <c r="AP860" s="6"/>
      <c r="AQ860" s="7"/>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6"/>
      <c r="AC861" s="6"/>
      <c r="AD861" s="6"/>
      <c r="AE861" s="6"/>
      <c r="AF861" s="6"/>
      <c r="AG861" s="6"/>
      <c r="AH861" s="6"/>
      <c r="AI861" s="6"/>
      <c r="AJ861" s="6"/>
      <c r="AK861" s="6"/>
      <c r="AL861" s="6"/>
      <c r="AM861" s="6"/>
      <c r="AN861" s="6"/>
      <c r="AO861" s="6"/>
      <c r="AP861" s="6"/>
      <c r="AQ861" s="7"/>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6"/>
      <c r="AC862" s="6"/>
      <c r="AD862" s="6"/>
      <c r="AE862" s="6"/>
      <c r="AF862" s="6"/>
      <c r="AG862" s="6"/>
      <c r="AH862" s="6"/>
      <c r="AI862" s="6"/>
      <c r="AJ862" s="6"/>
      <c r="AK862" s="6"/>
      <c r="AL862" s="6"/>
      <c r="AM862" s="6"/>
      <c r="AN862" s="6"/>
      <c r="AO862" s="6"/>
      <c r="AP862" s="6"/>
      <c r="AQ862" s="7"/>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6"/>
      <c r="AC863" s="6"/>
      <c r="AD863" s="6"/>
      <c r="AE863" s="6"/>
      <c r="AF863" s="6"/>
      <c r="AG863" s="6"/>
      <c r="AH863" s="6"/>
      <c r="AI863" s="6"/>
      <c r="AJ863" s="6"/>
      <c r="AK863" s="6"/>
      <c r="AL863" s="6"/>
      <c r="AM863" s="6"/>
      <c r="AN863" s="6"/>
      <c r="AO863" s="6"/>
      <c r="AP863" s="6"/>
      <c r="AQ863" s="7"/>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6"/>
      <c r="AC864" s="6"/>
      <c r="AD864" s="6"/>
      <c r="AE864" s="6"/>
      <c r="AF864" s="6"/>
      <c r="AG864" s="6"/>
      <c r="AH864" s="6"/>
      <c r="AI864" s="6"/>
      <c r="AJ864" s="6"/>
      <c r="AK864" s="6"/>
      <c r="AL864" s="6"/>
      <c r="AM864" s="6"/>
      <c r="AN864" s="6"/>
      <c r="AO864" s="6"/>
      <c r="AP864" s="6"/>
      <c r="AQ864" s="7"/>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6"/>
      <c r="AC865" s="6"/>
      <c r="AD865" s="6"/>
      <c r="AE865" s="6"/>
      <c r="AF865" s="6"/>
      <c r="AG865" s="6"/>
      <c r="AH865" s="6"/>
      <c r="AI865" s="6"/>
      <c r="AJ865" s="6"/>
      <c r="AK865" s="6"/>
      <c r="AL865" s="6"/>
      <c r="AM865" s="6"/>
      <c r="AN865" s="6"/>
      <c r="AO865" s="6"/>
      <c r="AP865" s="6"/>
      <c r="AQ865" s="7"/>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6"/>
      <c r="AC866" s="6"/>
      <c r="AD866" s="6"/>
      <c r="AE866" s="6"/>
      <c r="AF866" s="6"/>
      <c r="AG866" s="6"/>
      <c r="AH866" s="6"/>
      <c r="AI866" s="6"/>
      <c r="AJ866" s="6"/>
      <c r="AK866" s="6"/>
      <c r="AL866" s="6"/>
      <c r="AM866" s="6"/>
      <c r="AN866" s="6"/>
      <c r="AO866" s="6"/>
      <c r="AP866" s="6"/>
      <c r="AQ866" s="7"/>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6"/>
      <c r="AC867" s="6"/>
      <c r="AD867" s="6"/>
      <c r="AE867" s="6"/>
      <c r="AF867" s="6"/>
      <c r="AG867" s="6"/>
      <c r="AH867" s="6"/>
      <c r="AI867" s="6"/>
      <c r="AJ867" s="6"/>
      <c r="AK867" s="6"/>
      <c r="AL867" s="6"/>
      <c r="AM867" s="6"/>
      <c r="AN867" s="6"/>
      <c r="AO867" s="6"/>
      <c r="AP867" s="6"/>
      <c r="AQ867" s="7"/>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6"/>
      <c r="AC868" s="6"/>
      <c r="AD868" s="6"/>
      <c r="AE868" s="6"/>
      <c r="AF868" s="6"/>
      <c r="AG868" s="6"/>
      <c r="AH868" s="6"/>
      <c r="AI868" s="6"/>
      <c r="AJ868" s="6"/>
      <c r="AK868" s="6"/>
      <c r="AL868" s="6"/>
      <c r="AM868" s="6"/>
      <c r="AN868" s="6"/>
      <c r="AO868" s="6"/>
      <c r="AP868" s="6"/>
      <c r="AQ868" s="7"/>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6"/>
      <c r="AC869" s="6"/>
      <c r="AD869" s="6"/>
      <c r="AE869" s="6"/>
      <c r="AF869" s="6"/>
      <c r="AG869" s="6"/>
      <c r="AH869" s="6"/>
      <c r="AI869" s="6"/>
      <c r="AJ869" s="6"/>
      <c r="AK869" s="6"/>
      <c r="AL869" s="6"/>
      <c r="AM869" s="6"/>
      <c r="AN869" s="6"/>
      <c r="AO869" s="6"/>
      <c r="AP869" s="6"/>
      <c r="AQ869" s="7"/>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6"/>
      <c r="AC870" s="6"/>
      <c r="AD870" s="6"/>
      <c r="AE870" s="6"/>
      <c r="AF870" s="6"/>
      <c r="AG870" s="6"/>
      <c r="AH870" s="6"/>
      <c r="AI870" s="6"/>
      <c r="AJ870" s="6"/>
      <c r="AK870" s="6"/>
      <c r="AL870" s="6"/>
      <c r="AM870" s="6"/>
      <c r="AN870" s="6"/>
      <c r="AO870" s="6"/>
      <c r="AP870" s="6"/>
      <c r="AQ870" s="7"/>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6"/>
      <c r="AC871" s="6"/>
      <c r="AD871" s="6"/>
      <c r="AE871" s="6"/>
      <c r="AF871" s="6"/>
      <c r="AG871" s="6"/>
      <c r="AH871" s="6"/>
      <c r="AI871" s="6"/>
      <c r="AJ871" s="6"/>
      <c r="AK871" s="6"/>
      <c r="AL871" s="6"/>
      <c r="AM871" s="6"/>
      <c r="AN871" s="6"/>
      <c r="AO871" s="6"/>
      <c r="AP871" s="6"/>
      <c r="AQ871" s="7"/>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6"/>
      <c r="AC872" s="6"/>
      <c r="AD872" s="6"/>
      <c r="AE872" s="6"/>
      <c r="AF872" s="6"/>
      <c r="AG872" s="6"/>
      <c r="AH872" s="6"/>
      <c r="AI872" s="6"/>
      <c r="AJ872" s="6"/>
      <c r="AK872" s="6"/>
      <c r="AL872" s="6"/>
      <c r="AM872" s="6"/>
      <c r="AN872" s="6"/>
      <c r="AO872" s="6"/>
      <c r="AP872" s="6"/>
      <c r="AQ872" s="7"/>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6"/>
      <c r="AC873" s="6"/>
      <c r="AD873" s="6"/>
      <c r="AE873" s="6"/>
      <c r="AF873" s="6"/>
      <c r="AG873" s="6"/>
      <c r="AH873" s="6"/>
      <c r="AI873" s="6"/>
      <c r="AJ873" s="6"/>
      <c r="AK873" s="6"/>
      <c r="AL873" s="6"/>
      <c r="AM873" s="6"/>
      <c r="AN873" s="6"/>
      <c r="AO873" s="6"/>
      <c r="AP873" s="6"/>
      <c r="AQ873" s="7"/>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6"/>
      <c r="AC874" s="6"/>
      <c r="AD874" s="6"/>
      <c r="AE874" s="6"/>
      <c r="AF874" s="6"/>
      <c r="AG874" s="6"/>
      <c r="AH874" s="6"/>
      <c r="AI874" s="6"/>
      <c r="AJ874" s="6"/>
      <c r="AK874" s="6"/>
      <c r="AL874" s="6"/>
      <c r="AM874" s="6"/>
      <c r="AN874" s="6"/>
      <c r="AO874" s="6"/>
      <c r="AP874" s="6"/>
      <c r="AQ874" s="7"/>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6"/>
      <c r="AC875" s="6"/>
      <c r="AD875" s="6"/>
      <c r="AE875" s="6"/>
      <c r="AF875" s="6"/>
      <c r="AG875" s="6"/>
      <c r="AH875" s="6"/>
      <c r="AI875" s="6"/>
      <c r="AJ875" s="6"/>
      <c r="AK875" s="6"/>
      <c r="AL875" s="6"/>
      <c r="AM875" s="6"/>
      <c r="AN875" s="6"/>
      <c r="AO875" s="6"/>
      <c r="AP875" s="6"/>
      <c r="AQ875" s="7"/>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6"/>
      <c r="AC876" s="6"/>
      <c r="AD876" s="6"/>
      <c r="AE876" s="6"/>
      <c r="AF876" s="6"/>
      <c r="AG876" s="6"/>
      <c r="AH876" s="6"/>
      <c r="AI876" s="6"/>
      <c r="AJ876" s="6"/>
      <c r="AK876" s="6"/>
      <c r="AL876" s="6"/>
      <c r="AM876" s="6"/>
      <c r="AN876" s="6"/>
      <c r="AO876" s="6"/>
      <c r="AP876" s="6"/>
      <c r="AQ876" s="7"/>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6"/>
      <c r="AC877" s="6"/>
      <c r="AD877" s="6"/>
      <c r="AE877" s="6"/>
      <c r="AF877" s="6"/>
      <c r="AG877" s="6"/>
      <c r="AH877" s="6"/>
      <c r="AI877" s="6"/>
      <c r="AJ877" s="6"/>
      <c r="AK877" s="6"/>
      <c r="AL877" s="6"/>
      <c r="AM877" s="6"/>
      <c r="AN877" s="6"/>
      <c r="AO877" s="6"/>
      <c r="AP877" s="6"/>
      <c r="AQ877" s="7"/>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6"/>
      <c r="AC878" s="6"/>
      <c r="AD878" s="6"/>
      <c r="AE878" s="6"/>
      <c r="AF878" s="6"/>
      <c r="AG878" s="6"/>
      <c r="AH878" s="6"/>
      <c r="AI878" s="6"/>
      <c r="AJ878" s="6"/>
      <c r="AK878" s="6"/>
      <c r="AL878" s="6"/>
      <c r="AM878" s="6"/>
      <c r="AN878" s="6"/>
      <c r="AO878" s="6"/>
      <c r="AP878" s="6"/>
      <c r="AQ878" s="7"/>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6"/>
      <c r="AC879" s="6"/>
      <c r="AD879" s="6"/>
      <c r="AE879" s="6"/>
      <c r="AF879" s="6"/>
      <c r="AG879" s="6"/>
      <c r="AH879" s="6"/>
      <c r="AI879" s="6"/>
      <c r="AJ879" s="6"/>
      <c r="AK879" s="6"/>
      <c r="AL879" s="6"/>
      <c r="AM879" s="6"/>
      <c r="AN879" s="6"/>
      <c r="AO879" s="6"/>
      <c r="AP879" s="6"/>
      <c r="AQ879" s="7"/>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6"/>
      <c r="AC880" s="6"/>
      <c r="AD880" s="6"/>
      <c r="AE880" s="6"/>
      <c r="AF880" s="6"/>
      <c r="AG880" s="6"/>
      <c r="AH880" s="6"/>
      <c r="AI880" s="6"/>
      <c r="AJ880" s="6"/>
      <c r="AK880" s="6"/>
      <c r="AL880" s="6"/>
      <c r="AM880" s="6"/>
      <c r="AN880" s="6"/>
      <c r="AO880" s="6"/>
      <c r="AP880" s="6"/>
      <c r="AQ880" s="7"/>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6"/>
      <c r="AC881" s="6"/>
      <c r="AD881" s="6"/>
      <c r="AE881" s="6"/>
      <c r="AF881" s="6"/>
      <c r="AG881" s="6"/>
      <c r="AH881" s="6"/>
      <c r="AI881" s="6"/>
      <c r="AJ881" s="6"/>
      <c r="AK881" s="6"/>
      <c r="AL881" s="6"/>
      <c r="AM881" s="6"/>
      <c r="AN881" s="6"/>
      <c r="AO881" s="6"/>
      <c r="AP881" s="6"/>
      <c r="AQ881" s="7"/>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6"/>
      <c r="AC882" s="6"/>
      <c r="AD882" s="6"/>
      <c r="AE882" s="6"/>
      <c r="AF882" s="6"/>
      <c r="AG882" s="6"/>
      <c r="AH882" s="6"/>
      <c r="AI882" s="6"/>
      <c r="AJ882" s="6"/>
      <c r="AK882" s="6"/>
      <c r="AL882" s="6"/>
      <c r="AM882" s="6"/>
      <c r="AN882" s="6"/>
      <c r="AO882" s="6"/>
      <c r="AP882" s="6"/>
      <c r="AQ882" s="7"/>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6"/>
      <c r="AC883" s="6"/>
      <c r="AD883" s="6"/>
      <c r="AE883" s="6"/>
      <c r="AF883" s="6"/>
      <c r="AG883" s="6"/>
      <c r="AH883" s="6"/>
      <c r="AI883" s="6"/>
      <c r="AJ883" s="6"/>
      <c r="AK883" s="6"/>
      <c r="AL883" s="6"/>
      <c r="AM883" s="6"/>
      <c r="AN883" s="6"/>
      <c r="AO883" s="6"/>
      <c r="AP883" s="6"/>
      <c r="AQ883" s="7"/>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6"/>
      <c r="AC884" s="6"/>
      <c r="AD884" s="6"/>
      <c r="AE884" s="6"/>
      <c r="AF884" s="6"/>
      <c r="AG884" s="6"/>
      <c r="AH884" s="6"/>
      <c r="AI884" s="6"/>
      <c r="AJ884" s="6"/>
      <c r="AK884" s="6"/>
      <c r="AL884" s="6"/>
      <c r="AM884" s="6"/>
      <c r="AN884" s="6"/>
      <c r="AO884" s="6"/>
      <c r="AP884" s="6"/>
      <c r="AQ884" s="7"/>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6"/>
      <c r="AC885" s="6"/>
      <c r="AD885" s="6"/>
      <c r="AE885" s="6"/>
      <c r="AF885" s="6"/>
      <c r="AG885" s="6"/>
      <c r="AH885" s="6"/>
      <c r="AI885" s="6"/>
      <c r="AJ885" s="6"/>
      <c r="AK885" s="6"/>
      <c r="AL885" s="6"/>
      <c r="AM885" s="6"/>
      <c r="AN885" s="6"/>
      <c r="AO885" s="6"/>
      <c r="AP885" s="6"/>
      <c r="AQ885" s="7"/>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6"/>
      <c r="AC886" s="6"/>
      <c r="AD886" s="6"/>
      <c r="AE886" s="6"/>
      <c r="AF886" s="6"/>
      <c r="AG886" s="6"/>
      <c r="AH886" s="6"/>
      <c r="AI886" s="6"/>
      <c r="AJ886" s="6"/>
      <c r="AK886" s="6"/>
      <c r="AL886" s="6"/>
      <c r="AM886" s="6"/>
      <c r="AN886" s="6"/>
      <c r="AO886" s="6"/>
      <c r="AP886" s="6"/>
      <c r="AQ886" s="7"/>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6"/>
      <c r="AC887" s="6"/>
      <c r="AD887" s="6"/>
      <c r="AE887" s="6"/>
      <c r="AF887" s="6"/>
      <c r="AG887" s="6"/>
      <c r="AH887" s="6"/>
      <c r="AI887" s="6"/>
      <c r="AJ887" s="6"/>
      <c r="AK887" s="6"/>
      <c r="AL887" s="6"/>
      <c r="AM887" s="6"/>
      <c r="AN887" s="6"/>
      <c r="AO887" s="6"/>
      <c r="AP887" s="6"/>
      <c r="AQ887" s="7"/>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6"/>
      <c r="AC888" s="6"/>
      <c r="AD888" s="6"/>
      <c r="AE888" s="6"/>
      <c r="AF888" s="6"/>
      <c r="AG888" s="6"/>
      <c r="AH888" s="6"/>
      <c r="AI888" s="6"/>
      <c r="AJ888" s="6"/>
      <c r="AK888" s="6"/>
      <c r="AL888" s="6"/>
      <c r="AM888" s="6"/>
      <c r="AN888" s="6"/>
      <c r="AO888" s="6"/>
      <c r="AP888" s="6"/>
      <c r="AQ888" s="7"/>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6"/>
      <c r="AC889" s="6"/>
      <c r="AD889" s="6"/>
      <c r="AE889" s="6"/>
      <c r="AF889" s="6"/>
      <c r="AG889" s="6"/>
      <c r="AH889" s="6"/>
      <c r="AI889" s="6"/>
      <c r="AJ889" s="6"/>
      <c r="AK889" s="6"/>
      <c r="AL889" s="6"/>
      <c r="AM889" s="6"/>
      <c r="AN889" s="6"/>
      <c r="AO889" s="6"/>
      <c r="AP889" s="6"/>
      <c r="AQ889" s="7"/>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6"/>
      <c r="AC890" s="6"/>
      <c r="AD890" s="6"/>
      <c r="AE890" s="6"/>
      <c r="AF890" s="6"/>
      <c r="AG890" s="6"/>
      <c r="AH890" s="6"/>
      <c r="AI890" s="6"/>
      <c r="AJ890" s="6"/>
      <c r="AK890" s="6"/>
      <c r="AL890" s="6"/>
      <c r="AM890" s="6"/>
      <c r="AN890" s="6"/>
      <c r="AO890" s="6"/>
      <c r="AP890" s="6"/>
      <c r="AQ890" s="7"/>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6"/>
      <c r="AC891" s="6"/>
      <c r="AD891" s="6"/>
      <c r="AE891" s="6"/>
      <c r="AF891" s="6"/>
      <c r="AG891" s="6"/>
      <c r="AH891" s="6"/>
      <c r="AI891" s="6"/>
      <c r="AJ891" s="6"/>
      <c r="AK891" s="6"/>
      <c r="AL891" s="6"/>
      <c r="AM891" s="6"/>
      <c r="AN891" s="6"/>
      <c r="AO891" s="6"/>
      <c r="AP891" s="6"/>
      <c r="AQ891" s="7"/>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6"/>
      <c r="AC892" s="6"/>
      <c r="AD892" s="6"/>
      <c r="AE892" s="6"/>
      <c r="AF892" s="6"/>
      <c r="AG892" s="6"/>
      <c r="AH892" s="6"/>
      <c r="AI892" s="6"/>
      <c r="AJ892" s="6"/>
      <c r="AK892" s="6"/>
      <c r="AL892" s="6"/>
      <c r="AM892" s="6"/>
      <c r="AN892" s="6"/>
      <c r="AO892" s="6"/>
      <c r="AP892" s="6"/>
      <c r="AQ892" s="7"/>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6"/>
      <c r="AC893" s="6"/>
      <c r="AD893" s="6"/>
      <c r="AE893" s="6"/>
      <c r="AF893" s="6"/>
      <c r="AG893" s="6"/>
      <c r="AH893" s="6"/>
      <c r="AI893" s="6"/>
      <c r="AJ893" s="6"/>
      <c r="AK893" s="6"/>
      <c r="AL893" s="6"/>
      <c r="AM893" s="6"/>
      <c r="AN893" s="6"/>
      <c r="AO893" s="6"/>
      <c r="AP893" s="6"/>
      <c r="AQ893" s="7"/>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6"/>
      <c r="AC894" s="6"/>
      <c r="AD894" s="6"/>
      <c r="AE894" s="6"/>
      <c r="AF894" s="6"/>
      <c r="AG894" s="6"/>
      <c r="AH894" s="6"/>
      <c r="AI894" s="6"/>
      <c r="AJ894" s="6"/>
      <c r="AK894" s="6"/>
      <c r="AL894" s="6"/>
      <c r="AM894" s="6"/>
      <c r="AN894" s="6"/>
      <c r="AO894" s="6"/>
      <c r="AP894" s="6"/>
      <c r="AQ894" s="7"/>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6"/>
      <c r="AC895" s="6"/>
      <c r="AD895" s="6"/>
      <c r="AE895" s="6"/>
      <c r="AF895" s="6"/>
      <c r="AG895" s="6"/>
      <c r="AH895" s="6"/>
      <c r="AI895" s="6"/>
      <c r="AJ895" s="6"/>
      <c r="AK895" s="6"/>
      <c r="AL895" s="6"/>
      <c r="AM895" s="6"/>
      <c r="AN895" s="6"/>
      <c r="AO895" s="6"/>
      <c r="AP895" s="6"/>
      <c r="AQ895" s="7"/>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6"/>
      <c r="AC896" s="6"/>
      <c r="AD896" s="6"/>
      <c r="AE896" s="6"/>
      <c r="AF896" s="6"/>
      <c r="AG896" s="6"/>
      <c r="AH896" s="6"/>
      <c r="AI896" s="6"/>
      <c r="AJ896" s="6"/>
      <c r="AK896" s="6"/>
      <c r="AL896" s="6"/>
      <c r="AM896" s="6"/>
      <c r="AN896" s="6"/>
      <c r="AO896" s="6"/>
      <c r="AP896" s="6"/>
      <c r="AQ896" s="7"/>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6"/>
      <c r="AC897" s="6"/>
      <c r="AD897" s="6"/>
      <c r="AE897" s="6"/>
      <c r="AF897" s="6"/>
      <c r="AG897" s="6"/>
      <c r="AH897" s="6"/>
      <c r="AI897" s="6"/>
      <c r="AJ897" s="6"/>
      <c r="AK897" s="6"/>
      <c r="AL897" s="6"/>
      <c r="AM897" s="6"/>
      <c r="AN897" s="6"/>
      <c r="AO897" s="6"/>
      <c r="AP897" s="6"/>
      <c r="AQ897" s="7"/>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6"/>
      <c r="AC898" s="6"/>
      <c r="AD898" s="6"/>
      <c r="AE898" s="6"/>
      <c r="AF898" s="6"/>
      <c r="AG898" s="6"/>
      <c r="AH898" s="6"/>
      <c r="AI898" s="6"/>
      <c r="AJ898" s="6"/>
      <c r="AK898" s="6"/>
      <c r="AL898" s="6"/>
      <c r="AM898" s="6"/>
      <c r="AN898" s="6"/>
      <c r="AO898" s="6"/>
      <c r="AP898" s="6"/>
      <c r="AQ898" s="7"/>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6"/>
      <c r="AC899" s="6"/>
      <c r="AD899" s="6"/>
      <c r="AE899" s="6"/>
      <c r="AF899" s="6"/>
      <c r="AG899" s="6"/>
      <c r="AH899" s="6"/>
      <c r="AI899" s="6"/>
      <c r="AJ899" s="6"/>
      <c r="AK899" s="6"/>
      <c r="AL899" s="6"/>
      <c r="AM899" s="6"/>
      <c r="AN899" s="6"/>
      <c r="AO899" s="6"/>
      <c r="AP899" s="6"/>
      <c r="AQ899" s="7"/>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6"/>
      <c r="AC900" s="6"/>
      <c r="AD900" s="6"/>
      <c r="AE900" s="6"/>
      <c r="AF900" s="6"/>
      <c r="AG900" s="6"/>
      <c r="AH900" s="6"/>
      <c r="AI900" s="6"/>
      <c r="AJ900" s="6"/>
      <c r="AK900" s="6"/>
      <c r="AL900" s="6"/>
      <c r="AM900" s="6"/>
      <c r="AN900" s="6"/>
      <c r="AO900" s="6"/>
      <c r="AP900" s="6"/>
      <c r="AQ900" s="7"/>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6"/>
      <c r="AC901" s="6"/>
      <c r="AD901" s="6"/>
      <c r="AE901" s="6"/>
      <c r="AF901" s="6"/>
      <c r="AG901" s="6"/>
      <c r="AH901" s="6"/>
      <c r="AI901" s="6"/>
      <c r="AJ901" s="6"/>
      <c r="AK901" s="6"/>
      <c r="AL901" s="6"/>
      <c r="AM901" s="6"/>
      <c r="AN901" s="6"/>
      <c r="AO901" s="6"/>
      <c r="AP901" s="6"/>
      <c r="AQ901" s="7"/>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6"/>
      <c r="AC902" s="6"/>
      <c r="AD902" s="6"/>
      <c r="AE902" s="6"/>
      <c r="AF902" s="6"/>
      <c r="AG902" s="6"/>
      <c r="AH902" s="6"/>
      <c r="AI902" s="6"/>
      <c r="AJ902" s="6"/>
      <c r="AK902" s="6"/>
      <c r="AL902" s="6"/>
      <c r="AM902" s="6"/>
      <c r="AN902" s="6"/>
      <c r="AO902" s="6"/>
      <c r="AP902" s="6"/>
      <c r="AQ902" s="7"/>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6"/>
      <c r="AC903" s="6"/>
      <c r="AD903" s="6"/>
      <c r="AE903" s="6"/>
      <c r="AF903" s="6"/>
      <c r="AG903" s="6"/>
      <c r="AH903" s="6"/>
      <c r="AI903" s="6"/>
      <c r="AJ903" s="6"/>
      <c r="AK903" s="6"/>
      <c r="AL903" s="6"/>
      <c r="AM903" s="6"/>
      <c r="AN903" s="6"/>
      <c r="AO903" s="6"/>
      <c r="AP903" s="6"/>
      <c r="AQ903" s="7"/>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6"/>
      <c r="AC904" s="6"/>
      <c r="AD904" s="6"/>
      <c r="AE904" s="6"/>
      <c r="AF904" s="6"/>
      <c r="AG904" s="6"/>
      <c r="AH904" s="6"/>
      <c r="AI904" s="6"/>
      <c r="AJ904" s="6"/>
      <c r="AK904" s="6"/>
      <c r="AL904" s="6"/>
      <c r="AM904" s="6"/>
      <c r="AN904" s="6"/>
      <c r="AO904" s="6"/>
      <c r="AP904" s="6"/>
      <c r="AQ904" s="7"/>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6"/>
      <c r="AC905" s="6"/>
      <c r="AD905" s="6"/>
      <c r="AE905" s="6"/>
      <c r="AF905" s="6"/>
      <c r="AG905" s="6"/>
      <c r="AH905" s="6"/>
      <c r="AI905" s="6"/>
      <c r="AJ905" s="6"/>
      <c r="AK905" s="6"/>
      <c r="AL905" s="6"/>
      <c r="AM905" s="6"/>
      <c r="AN905" s="6"/>
      <c r="AO905" s="6"/>
      <c r="AP905" s="6"/>
      <c r="AQ905" s="7"/>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6"/>
      <c r="AC906" s="6"/>
      <c r="AD906" s="6"/>
      <c r="AE906" s="6"/>
      <c r="AF906" s="6"/>
      <c r="AG906" s="6"/>
      <c r="AH906" s="6"/>
      <c r="AI906" s="6"/>
      <c r="AJ906" s="6"/>
      <c r="AK906" s="6"/>
      <c r="AL906" s="6"/>
      <c r="AM906" s="6"/>
      <c r="AN906" s="6"/>
      <c r="AO906" s="6"/>
      <c r="AP906" s="6"/>
      <c r="AQ906" s="7"/>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6"/>
      <c r="AC907" s="6"/>
      <c r="AD907" s="6"/>
      <c r="AE907" s="6"/>
      <c r="AF907" s="6"/>
      <c r="AG907" s="6"/>
      <c r="AH907" s="6"/>
      <c r="AI907" s="6"/>
      <c r="AJ907" s="6"/>
      <c r="AK907" s="6"/>
      <c r="AL907" s="6"/>
      <c r="AM907" s="6"/>
      <c r="AN907" s="6"/>
      <c r="AO907" s="6"/>
      <c r="AP907" s="6"/>
      <c r="AQ907" s="7"/>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6"/>
      <c r="AC908" s="6"/>
      <c r="AD908" s="6"/>
      <c r="AE908" s="6"/>
      <c r="AF908" s="6"/>
      <c r="AG908" s="6"/>
      <c r="AH908" s="6"/>
      <c r="AI908" s="6"/>
      <c r="AJ908" s="6"/>
      <c r="AK908" s="6"/>
      <c r="AL908" s="6"/>
      <c r="AM908" s="6"/>
      <c r="AN908" s="6"/>
      <c r="AO908" s="6"/>
      <c r="AP908" s="6"/>
      <c r="AQ908" s="7"/>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6"/>
      <c r="AC909" s="6"/>
      <c r="AD909" s="6"/>
      <c r="AE909" s="6"/>
      <c r="AF909" s="6"/>
      <c r="AG909" s="6"/>
      <c r="AH909" s="6"/>
      <c r="AI909" s="6"/>
      <c r="AJ909" s="6"/>
      <c r="AK909" s="6"/>
      <c r="AL909" s="6"/>
      <c r="AM909" s="6"/>
      <c r="AN909" s="6"/>
      <c r="AO909" s="6"/>
      <c r="AP909" s="6"/>
      <c r="AQ909" s="7"/>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6"/>
      <c r="AC910" s="6"/>
      <c r="AD910" s="6"/>
      <c r="AE910" s="6"/>
      <c r="AF910" s="6"/>
      <c r="AG910" s="6"/>
      <c r="AH910" s="6"/>
      <c r="AI910" s="6"/>
      <c r="AJ910" s="6"/>
      <c r="AK910" s="6"/>
      <c r="AL910" s="6"/>
      <c r="AM910" s="6"/>
      <c r="AN910" s="6"/>
      <c r="AO910" s="6"/>
      <c r="AP910" s="6"/>
      <c r="AQ910" s="7"/>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6"/>
      <c r="AC911" s="6"/>
      <c r="AD911" s="6"/>
      <c r="AE911" s="6"/>
      <c r="AF911" s="6"/>
      <c r="AG911" s="6"/>
      <c r="AH911" s="6"/>
      <c r="AI911" s="6"/>
      <c r="AJ911" s="6"/>
      <c r="AK911" s="6"/>
      <c r="AL911" s="6"/>
      <c r="AM911" s="6"/>
      <c r="AN911" s="6"/>
      <c r="AO911" s="6"/>
      <c r="AP911" s="6"/>
      <c r="AQ911" s="7"/>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6"/>
      <c r="AC912" s="6"/>
      <c r="AD912" s="6"/>
      <c r="AE912" s="6"/>
      <c r="AF912" s="6"/>
      <c r="AG912" s="6"/>
      <c r="AH912" s="6"/>
      <c r="AI912" s="6"/>
      <c r="AJ912" s="6"/>
      <c r="AK912" s="6"/>
      <c r="AL912" s="6"/>
      <c r="AM912" s="6"/>
      <c r="AN912" s="6"/>
      <c r="AO912" s="6"/>
      <c r="AP912" s="6"/>
      <c r="AQ912" s="7"/>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6"/>
      <c r="AC913" s="6"/>
      <c r="AD913" s="6"/>
      <c r="AE913" s="6"/>
      <c r="AF913" s="6"/>
      <c r="AG913" s="6"/>
      <c r="AH913" s="6"/>
      <c r="AI913" s="6"/>
      <c r="AJ913" s="6"/>
      <c r="AK913" s="6"/>
      <c r="AL913" s="6"/>
      <c r="AM913" s="6"/>
      <c r="AN913" s="6"/>
      <c r="AO913" s="6"/>
      <c r="AP913" s="6"/>
      <c r="AQ913" s="7"/>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6"/>
      <c r="AC914" s="6"/>
      <c r="AD914" s="6"/>
      <c r="AE914" s="6"/>
      <c r="AF914" s="6"/>
      <c r="AG914" s="6"/>
      <c r="AH914" s="6"/>
      <c r="AI914" s="6"/>
      <c r="AJ914" s="6"/>
      <c r="AK914" s="6"/>
      <c r="AL914" s="6"/>
      <c r="AM914" s="6"/>
      <c r="AN914" s="6"/>
      <c r="AO914" s="6"/>
      <c r="AP914" s="6"/>
      <c r="AQ914" s="7"/>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6"/>
      <c r="AC915" s="6"/>
      <c r="AD915" s="6"/>
      <c r="AE915" s="6"/>
      <c r="AF915" s="6"/>
      <c r="AG915" s="6"/>
      <c r="AH915" s="6"/>
      <c r="AI915" s="6"/>
      <c r="AJ915" s="6"/>
      <c r="AK915" s="6"/>
      <c r="AL915" s="6"/>
      <c r="AM915" s="6"/>
      <c r="AN915" s="6"/>
      <c r="AO915" s="6"/>
      <c r="AP915" s="6"/>
      <c r="AQ915" s="7"/>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6"/>
      <c r="AC916" s="6"/>
      <c r="AD916" s="6"/>
      <c r="AE916" s="6"/>
      <c r="AF916" s="6"/>
      <c r="AG916" s="6"/>
      <c r="AH916" s="6"/>
      <c r="AI916" s="6"/>
      <c r="AJ916" s="6"/>
      <c r="AK916" s="6"/>
      <c r="AL916" s="6"/>
      <c r="AM916" s="6"/>
      <c r="AN916" s="6"/>
      <c r="AO916" s="6"/>
      <c r="AP916" s="6"/>
      <c r="AQ916" s="7"/>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6"/>
      <c r="AC917" s="6"/>
      <c r="AD917" s="6"/>
      <c r="AE917" s="6"/>
      <c r="AF917" s="6"/>
      <c r="AG917" s="6"/>
      <c r="AH917" s="6"/>
      <c r="AI917" s="6"/>
      <c r="AJ917" s="6"/>
      <c r="AK917" s="6"/>
      <c r="AL917" s="6"/>
      <c r="AM917" s="6"/>
      <c r="AN917" s="6"/>
      <c r="AO917" s="6"/>
      <c r="AP917" s="6"/>
      <c r="AQ917" s="7"/>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6"/>
      <c r="AC918" s="6"/>
      <c r="AD918" s="6"/>
      <c r="AE918" s="6"/>
      <c r="AF918" s="6"/>
      <c r="AG918" s="6"/>
      <c r="AH918" s="6"/>
      <c r="AI918" s="6"/>
      <c r="AJ918" s="6"/>
      <c r="AK918" s="6"/>
      <c r="AL918" s="6"/>
      <c r="AM918" s="6"/>
      <c r="AN918" s="6"/>
      <c r="AO918" s="6"/>
      <c r="AP918" s="6"/>
      <c r="AQ918" s="7"/>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6"/>
      <c r="AC919" s="6"/>
      <c r="AD919" s="6"/>
      <c r="AE919" s="6"/>
      <c r="AF919" s="6"/>
      <c r="AG919" s="6"/>
      <c r="AH919" s="6"/>
      <c r="AI919" s="6"/>
      <c r="AJ919" s="6"/>
      <c r="AK919" s="6"/>
      <c r="AL919" s="6"/>
      <c r="AM919" s="6"/>
      <c r="AN919" s="6"/>
      <c r="AO919" s="6"/>
      <c r="AP919" s="6"/>
      <c r="AQ919" s="7"/>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6"/>
      <c r="AC920" s="6"/>
      <c r="AD920" s="6"/>
      <c r="AE920" s="6"/>
      <c r="AF920" s="6"/>
      <c r="AG920" s="6"/>
      <c r="AH920" s="6"/>
      <c r="AI920" s="6"/>
      <c r="AJ920" s="6"/>
      <c r="AK920" s="6"/>
      <c r="AL920" s="6"/>
      <c r="AM920" s="6"/>
      <c r="AN920" s="6"/>
      <c r="AO920" s="6"/>
      <c r="AP920" s="6"/>
      <c r="AQ920" s="7"/>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6"/>
      <c r="AC921" s="6"/>
      <c r="AD921" s="6"/>
      <c r="AE921" s="6"/>
      <c r="AF921" s="6"/>
      <c r="AG921" s="6"/>
      <c r="AH921" s="6"/>
      <c r="AI921" s="6"/>
      <c r="AJ921" s="6"/>
      <c r="AK921" s="6"/>
      <c r="AL921" s="6"/>
      <c r="AM921" s="6"/>
      <c r="AN921" s="6"/>
      <c r="AO921" s="6"/>
      <c r="AP921" s="6"/>
      <c r="AQ921" s="7"/>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6"/>
      <c r="AC922" s="6"/>
      <c r="AD922" s="6"/>
      <c r="AE922" s="6"/>
      <c r="AF922" s="6"/>
      <c r="AG922" s="6"/>
      <c r="AH922" s="6"/>
      <c r="AI922" s="6"/>
      <c r="AJ922" s="6"/>
      <c r="AK922" s="6"/>
      <c r="AL922" s="6"/>
      <c r="AM922" s="6"/>
      <c r="AN922" s="6"/>
      <c r="AO922" s="6"/>
      <c r="AP922" s="6"/>
      <c r="AQ922" s="7"/>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6"/>
      <c r="AC923" s="6"/>
      <c r="AD923" s="6"/>
      <c r="AE923" s="6"/>
      <c r="AF923" s="6"/>
      <c r="AG923" s="6"/>
      <c r="AH923" s="6"/>
      <c r="AI923" s="6"/>
      <c r="AJ923" s="6"/>
      <c r="AK923" s="6"/>
      <c r="AL923" s="6"/>
      <c r="AM923" s="6"/>
      <c r="AN923" s="6"/>
      <c r="AO923" s="6"/>
      <c r="AP923" s="6"/>
      <c r="AQ923" s="7"/>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6"/>
      <c r="AC924" s="6"/>
      <c r="AD924" s="6"/>
      <c r="AE924" s="6"/>
      <c r="AF924" s="6"/>
      <c r="AG924" s="6"/>
      <c r="AH924" s="6"/>
      <c r="AI924" s="6"/>
      <c r="AJ924" s="6"/>
      <c r="AK924" s="6"/>
      <c r="AL924" s="6"/>
      <c r="AM924" s="6"/>
      <c r="AN924" s="6"/>
      <c r="AO924" s="6"/>
      <c r="AP924" s="6"/>
      <c r="AQ924" s="7"/>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6"/>
      <c r="AC925" s="6"/>
      <c r="AD925" s="6"/>
      <c r="AE925" s="6"/>
      <c r="AF925" s="6"/>
      <c r="AG925" s="6"/>
      <c r="AH925" s="6"/>
      <c r="AI925" s="6"/>
      <c r="AJ925" s="6"/>
      <c r="AK925" s="6"/>
      <c r="AL925" s="6"/>
      <c r="AM925" s="6"/>
      <c r="AN925" s="6"/>
      <c r="AO925" s="6"/>
      <c r="AP925" s="6"/>
      <c r="AQ925" s="7"/>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6"/>
      <c r="AC926" s="6"/>
      <c r="AD926" s="6"/>
      <c r="AE926" s="6"/>
      <c r="AF926" s="6"/>
      <c r="AG926" s="6"/>
      <c r="AH926" s="6"/>
      <c r="AI926" s="6"/>
      <c r="AJ926" s="6"/>
      <c r="AK926" s="6"/>
      <c r="AL926" s="6"/>
      <c r="AM926" s="6"/>
      <c r="AN926" s="6"/>
      <c r="AO926" s="6"/>
      <c r="AP926" s="6"/>
      <c r="AQ926" s="7"/>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6"/>
      <c r="AC927" s="6"/>
      <c r="AD927" s="6"/>
      <c r="AE927" s="6"/>
      <c r="AF927" s="6"/>
      <c r="AG927" s="6"/>
      <c r="AH927" s="6"/>
      <c r="AI927" s="6"/>
      <c r="AJ927" s="6"/>
      <c r="AK927" s="6"/>
      <c r="AL927" s="6"/>
      <c r="AM927" s="6"/>
      <c r="AN927" s="6"/>
      <c r="AO927" s="6"/>
      <c r="AP927" s="6"/>
      <c r="AQ927" s="7"/>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6"/>
      <c r="AC928" s="6"/>
      <c r="AD928" s="6"/>
      <c r="AE928" s="6"/>
      <c r="AF928" s="6"/>
      <c r="AG928" s="6"/>
      <c r="AH928" s="6"/>
      <c r="AI928" s="6"/>
      <c r="AJ928" s="6"/>
      <c r="AK928" s="6"/>
      <c r="AL928" s="6"/>
      <c r="AM928" s="6"/>
      <c r="AN928" s="6"/>
      <c r="AO928" s="6"/>
      <c r="AP928" s="6"/>
      <c r="AQ928" s="7"/>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6"/>
      <c r="AC929" s="6"/>
      <c r="AD929" s="6"/>
      <c r="AE929" s="6"/>
      <c r="AF929" s="6"/>
      <c r="AG929" s="6"/>
      <c r="AH929" s="6"/>
      <c r="AI929" s="6"/>
      <c r="AJ929" s="6"/>
      <c r="AK929" s="6"/>
      <c r="AL929" s="6"/>
      <c r="AM929" s="6"/>
      <c r="AN929" s="6"/>
      <c r="AO929" s="6"/>
      <c r="AP929" s="6"/>
      <c r="AQ929" s="7"/>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6"/>
      <c r="AC930" s="6"/>
      <c r="AD930" s="6"/>
      <c r="AE930" s="6"/>
      <c r="AF930" s="6"/>
      <c r="AG930" s="6"/>
      <c r="AH930" s="6"/>
      <c r="AI930" s="6"/>
      <c r="AJ930" s="6"/>
      <c r="AK930" s="6"/>
      <c r="AL930" s="6"/>
      <c r="AM930" s="6"/>
      <c r="AN930" s="6"/>
      <c r="AO930" s="6"/>
      <c r="AP930" s="6"/>
      <c r="AQ930" s="7"/>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6"/>
      <c r="AC931" s="6"/>
      <c r="AD931" s="6"/>
      <c r="AE931" s="6"/>
      <c r="AF931" s="6"/>
      <c r="AG931" s="6"/>
      <c r="AH931" s="6"/>
      <c r="AI931" s="6"/>
      <c r="AJ931" s="6"/>
      <c r="AK931" s="6"/>
      <c r="AL931" s="6"/>
      <c r="AM931" s="6"/>
      <c r="AN931" s="6"/>
      <c r="AO931" s="6"/>
      <c r="AP931" s="6"/>
      <c r="AQ931" s="7"/>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6"/>
      <c r="AC932" s="6"/>
      <c r="AD932" s="6"/>
      <c r="AE932" s="6"/>
      <c r="AF932" s="6"/>
      <c r="AG932" s="6"/>
      <c r="AH932" s="6"/>
      <c r="AI932" s="6"/>
      <c r="AJ932" s="6"/>
      <c r="AK932" s="6"/>
      <c r="AL932" s="6"/>
      <c r="AM932" s="6"/>
      <c r="AN932" s="6"/>
      <c r="AO932" s="6"/>
      <c r="AP932" s="6"/>
      <c r="AQ932" s="7"/>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6"/>
      <c r="AC933" s="6"/>
      <c r="AD933" s="6"/>
      <c r="AE933" s="6"/>
      <c r="AF933" s="6"/>
      <c r="AG933" s="6"/>
      <c r="AH933" s="6"/>
      <c r="AI933" s="6"/>
      <c r="AJ933" s="6"/>
      <c r="AK933" s="6"/>
      <c r="AL933" s="6"/>
      <c r="AM933" s="6"/>
      <c r="AN933" s="6"/>
      <c r="AO933" s="6"/>
      <c r="AP933" s="6"/>
      <c r="AQ933" s="7"/>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6"/>
      <c r="AC934" s="6"/>
      <c r="AD934" s="6"/>
      <c r="AE934" s="6"/>
      <c r="AF934" s="6"/>
      <c r="AG934" s="6"/>
      <c r="AH934" s="6"/>
      <c r="AI934" s="6"/>
      <c r="AJ934" s="6"/>
      <c r="AK934" s="6"/>
      <c r="AL934" s="6"/>
      <c r="AM934" s="6"/>
      <c r="AN934" s="6"/>
      <c r="AO934" s="6"/>
      <c r="AP934" s="6"/>
      <c r="AQ934" s="7"/>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6"/>
      <c r="AC935" s="6"/>
      <c r="AD935" s="6"/>
      <c r="AE935" s="6"/>
      <c r="AF935" s="6"/>
      <c r="AG935" s="6"/>
      <c r="AH935" s="6"/>
      <c r="AI935" s="6"/>
      <c r="AJ935" s="6"/>
      <c r="AK935" s="6"/>
      <c r="AL935" s="6"/>
      <c r="AM935" s="6"/>
      <c r="AN935" s="6"/>
      <c r="AO935" s="6"/>
      <c r="AP935" s="6"/>
      <c r="AQ935" s="7"/>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6"/>
      <c r="AC936" s="6"/>
      <c r="AD936" s="6"/>
      <c r="AE936" s="6"/>
      <c r="AF936" s="6"/>
      <c r="AG936" s="6"/>
      <c r="AH936" s="6"/>
      <c r="AI936" s="6"/>
      <c r="AJ936" s="6"/>
      <c r="AK936" s="6"/>
      <c r="AL936" s="6"/>
      <c r="AM936" s="6"/>
      <c r="AN936" s="6"/>
      <c r="AO936" s="6"/>
      <c r="AP936" s="6"/>
      <c r="AQ936" s="7"/>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6"/>
      <c r="AC937" s="6"/>
      <c r="AD937" s="6"/>
      <c r="AE937" s="6"/>
      <c r="AF937" s="6"/>
      <c r="AG937" s="6"/>
      <c r="AH937" s="6"/>
      <c r="AI937" s="6"/>
      <c r="AJ937" s="6"/>
      <c r="AK937" s="6"/>
      <c r="AL937" s="6"/>
      <c r="AM937" s="6"/>
      <c r="AN937" s="6"/>
      <c r="AO937" s="6"/>
      <c r="AP937" s="6"/>
      <c r="AQ937" s="7"/>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6"/>
      <c r="AC938" s="6"/>
      <c r="AD938" s="6"/>
      <c r="AE938" s="6"/>
      <c r="AF938" s="6"/>
      <c r="AG938" s="6"/>
      <c r="AH938" s="6"/>
      <c r="AI938" s="6"/>
      <c r="AJ938" s="6"/>
      <c r="AK938" s="6"/>
      <c r="AL938" s="6"/>
      <c r="AM938" s="6"/>
      <c r="AN938" s="6"/>
      <c r="AO938" s="6"/>
      <c r="AP938" s="6"/>
      <c r="AQ938" s="7"/>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6"/>
      <c r="AC939" s="6"/>
      <c r="AD939" s="6"/>
      <c r="AE939" s="6"/>
      <c r="AF939" s="6"/>
      <c r="AG939" s="6"/>
      <c r="AH939" s="6"/>
      <c r="AI939" s="6"/>
      <c r="AJ939" s="6"/>
      <c r="AK939" s="6"/>
      <c r="AL939" s="6"/>
      <c r="AM939" s="6"/>
      <c r="AN939" s="6"/>
      <c r="AO939" s="6"/>
      <c r="AP939" s="6"/>
      <c r="AQ939" s="7"/>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6"/>
      <c r="AC940" s="6"/>
      <c r="AD940" s="6"/>
      <c r="AE940" s="6"/>
      <c r="AF940" s="6"/>
      <c r="AG940" s="6"/>
      <c r="AH940" s="6"/>
      <c r="AI940" s="6"/>
      <c r="AJ940" s="6"/>
      <c r="AK940" s="6"/>
      <c r="AL940" s="6"/>
      <c r="AM940" s="6"/>
      <c r="AN940" s="6"/>
      <c r="AO940" s="6"/>
      <c r="AP940" s="6"/>
      <c r="AQ940" s="7"/>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6"/>
      <c r="AC941" s="6"/>
      <c r="AD941" s="6"/>
      <c r="AE941" s="6"/>
      <c r="AF941" s="6"/>
      <c r="AG941" s="6"/>
      <c r="AH941" s="6"/>
      <c r="AI941" s="6"/>
      <c r="AJ941" s="6"/>
      <c r="AK941" s="6"/>
      <c r="AL941" s="6"/>
      <c r="AM941" s="6"/>
      <c r="AN941" s="6"/>
      <c r="AO941" s="6"/>
      <c r="AP941" s="6"/>
      <c r="AQ941" s="7"/>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6"/>
      <c r="AC942" s="6"/>
      <c r="AD942" s="6"/>
      <c r="AE942" s="6"/>
      <c r="AF942" s="6"/>
      <c r="AG942" s="6"/>
      <c r="AH942" s="6"/>
      <c r="AI942" s="6"/>
      <c r="AJ942" s="6"/>
      <c r="AK942" s="6"/>
      <c r="AL942" s="6"/>
      <c r="AM942" s="6"/>
      <c r="AN942" s="6"/>
      <c r="AO942" s="6"/>
      <c r="AP942" s="6"/>
      <c r="AQ942" s="7"/>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6"/>
      <c r="AC943" s="6"/>
      <c r="AD943" s="6"/>
      <c r="AE943" s="6"/>
      <c r="AF943" s="6"/>
      <c r="AG943" s="6"/>
      <c r="AH943" s="6"/>
      <c r="AI943" s="6"/>
      <c r="AJ943" s="6"/>
      <c r="AK943" s="6"/>
      <c r="AL943" s="6"/>
      <c r="AM943" s="6"/>
      <c r="AN943" s="6"/>
      <c r="AO943" s="6"/>
      <c r="AP943" s="6"/>
      <c r="AQ943" s="7"/>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6"/>
      <c r="AC944" s="6"/>
      <c r="AD944" s="6"/>
      <c r="AE944" s="6"/>
      <c r="AF944" s="6"/>
      <c r="AG944" s="6"/>
      <c r="AH944" s="6"/>
      <c r="AI944" s="6"/>
      <c r="AJ944" s="6"/>
      <c r="AK944" s="6"/>
      <c r="AL944" s="6"/>
      <c r="AM944" s="6"/>
      <c r="AN944" s="6"/>
      <c r="AO944" s="6"/>
      <c r="AP944" s="6"/>
      <c r="AQ944" s="7"/>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6"/>
      <c r="AC945" s="6"/>
      <c r="AD945" s="6"/>
      <c r="AE945" s="6"/>
      <c r="AF945" s="6"/>
      <c r="AG945" s="6"/>
      <c r="AH945" s="6"/>
      <c r="AI945" s="6"/>
      <c r="AJ945" s="6"/>
      <c r="AK945" s="6"/>
      <c r="AL945" s="6"/>
      <c r="AM945" s="6"/>
      <c r="AN945" s="6"/>
      <c r="AO945" s="6"/>
      <c r="AP945" s="6"/>
      <c r="AQ945" s="7"/>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6"/>
      <c r="AC946" s="6"/>
      <c r="AD946" s="6"/>
      <c r="AE946" s="6"/>
      <c r="AF946" s="6"/>
      <c r="AG946" s="6"/>
      <c r="AH946" s="6"/>
      <c r="AI946" s="6"/>
      <c r="AJ946" s="6"/>
      <c r="AK946" s="6"/>
      <c r="AL946" s="6"/>
      <c r="AM946" s="6"/>
      <c r="AN946" s="6"/>
      <c r="AO946" s="6"/>
      <c r="AP946" s="6"/>
      <c r="AQ946" s="7"/>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6"/>
      <c r="AC947" s="6"/>
      <c r="AD947" s="6"/>
      <c r="AE947" s="6"/>
      <c r="AF947" s="6"/>
      <c r="AG947" s="6"/>
      <c r="AH947" s="6"/>
      <c r="AI947" s="6"/>
      <c r="AJ947" s="6"/>
      <c r="AK947" s="6"/>
      <c r="AL947" s="6"/>
      <c r="AM947" s="6"/>
      <c r="AN947" s="6"/>
      <c r="AO947" s="6"/>
      <c r="AP947" s="6"/>
      <c r="AQ947" s="7"/>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6"/>
      <c r="AC948" s="6"/>
      <c r="AD948" s="6"/>
      <c r="AE948" s="6"/>
      <c r="AF948" s="6"/>
      <c r="AG948" s="6"/>
      <c r="AH948" s="6"/>
      <c r="AI948" s="6"/>
      <c r="AJ948" s="6"/>
      <c r="AK948" s="6"/>
      <c r="AL948" s="6"/>
      <c r="AM948" s="6"/>
      <c r="AN948" s="6"/>
      <c r="AO948" s="6"/>
      <c r="AP948" s="6"/>
      <c r="AQ948" s="7"/>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6"/>
      <c r="AC949" s="6"/>
      <c r="AD949" s="6"/>
      <c r="AE949" s="6"/>
      <c r="AF949" s="6"/>
      <c r="AG949" s="6"/>
      <c r="AH949" s="6"/>
      <c r="AI949" s="6"/>
      <c r="AJ949" s="6"/>
      <c r="AK949" s="6"/>
      <c r="AL949" s="6"/>
      <c r="AM949" s="6"/>
      <c r="AN949" s="6"/>
      <c r="AO949" s="6"/>
      <c r="AP949" s="6"/>
      <c r="AQ949" s="7"/>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6"/>
      <c r="AC950" s="6"/>
      <c r="AD950" s="6"/>
      <c r="AE950" s="6"/>
      <c r="AF950" s="6"/>
      <c r="AG950" s="6"/>
      <c r="AH950" s="6"/>
      <c r="AI950" s="6"/>
      <c r="AJ950" s="6"/>
      <c r="AK950" s="6"/>
      <c r="AL950" s="6"/>
      <c r="AM950" s="6"/>
      <c r="AN950" s="6"/>
      <c r="AO950" s="6"/>
      <c r="AP950" s="6"/>
      <c r="AQ950" s="7"/>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6"/>
      <c r="AC951" s="6"/>
      <c r="AD951" s="6"/>
      <c r="AE951" s="6"/>
      <c r="AF951" s="6"/>
      <c r="AG951" s="6"/>
      <c r="AH951" s="6"/>
      <c r="AI951" s="6"/>
      <c r="AJ951" s="6"/>
      <c r="AK951" s="6"/>
      <c r="AL951" s="6"/>
      <c r="AM951" s="6"/>
      <c r="AN951" s="6"/>
      <c r="AO951" s="6"/>
      <c r="AP951" s="6"/>
      <c r="AQ951" s="7"/>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6"/>
      <c r="AC952" s="6"/>
      <c r="AD952" s="6"/>
      <c r="AE952" s="6"/>
      <c r="AF952" s="6"/>
      <c r="AG952" s="6"/>
      <c r="AH952" s="6"/>
      <c r="AI952" s="6"/>
      <c r="AJ952" s="6"/>
      <c r="AK952" s="6"/>
      <c r="AL952" s="6"/>
      <c r="AM952" s="6"/>
      <c r="AN952" s="6"/>
      <c r="AO952" s="6"/>
      <c r="AP952" s="6"/>
      <c r="AQ952" s="7"/>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6"/>
      <c r="AC953" s="6"/>
      <c r="AD953" s="6"/>
      <c r="AE953" s="6"/>
      <c r="AF953" s="6"/>
      <c r="AG953" s="6"/>
      <c r="AH953" s="6"/>
      <c r="AI953" s="6"/>
      <c r="AJ953" s="6"/>
      <c r="AK953" s="6"/>
      <c r="AL953" s="6"/>
      <c r="AM953" s="6"/>
      <c r="AN953" s="6"/>
      <c r="AO953" s="6"/>
      <c r="AP953" s="6"/>
      <c r="AQ953" s="7"/>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6"/>
      <c r="AC954" s="6"/>
      <c r="AD954" s="6"/>
      <c r="AE954" s="6"/>
      <c r="AF954" s="6"/>
      <c r="AG954" s="6"/>
      <c r="AH954" s="6"/>
      <c r="AI954" s="6"/>
      <c r="AJ954" s="6"/>
      <c r="AK954" s="6"/>
      <c r="AL954" s="6"/>
      <c r="AM954" s="6"/>
      <c r="AN954" s="6"/>
      <c r="AO954" s="6"/>
      <c r="AP954" s="6"/>
      <c r="AQ954" s="7"/>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6"/>
      <c r="AC955" s="6"/>
      <c r="AD955" s="6"/>
      <c r="AE955" s="6"/>
      <c r="AF955" s="6"/>
      <c r="AG955" s="6"/>
      <c r="AH955" s="6"/>
      <c r="AI955" s="6"/>
      <c r="AJ955" s="6"/>
      <c r="AK955" s="6"/>
      <c r="AL955" s="6"/>
      <c r="AM955" s="6"/>
      <c r="AN955" s="6"/>
      <c r="AO955" s="6"/>
      <c r="AP955" s="6"/>
      <c r="AQ955" s="7"/>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6"/>
      <c r="AC956" s="6"/>
      <c r="AD956" s="6"/>
      <c r="AE956" s="6"/>
      <c r="AF956" s="6"/>
      <c r="AG956" s="6"/>
      <c r="AH956" s="6"/>
      <c r="AI956" s="6"/>
      <c r="AJ956" s="6"/>
      <c r="AK956" s="6"/>
      <c r="AL956" s="6"/>
      <c r="AM956" s="6"/>
      <c r="AN956" s="6"/>
      <c r="AO956" s="6"/>
      <c r="AP956" s="6"/>
      <c r="AQ956" s="7"/>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6"/>
      <c r="AC957" s="6"/>
      <c r="AD957" s="6"/>
      <c r="AE957" s="6"/>
      <c r="AF957" s="6"/>
      <c r="AG957" s="6"/>
      <c r="AH957" s="6"/>
      <c r="AI957" s="6"/>
      <c r="AJ957" s="6"/>
      <c r="AK957" s="6"/>
      <c r="AL957" s="6"/>
      <c r="AM957" s="6"/>
      <c r="AN957" s="6"/>
      <c r="AO957" s="6"/>
      <c r="AP957" s="6"/>
      <c r="AQ957" s="7"/>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6"/>
      <c r="AC958" s="6"/>
      <c r="AD958" s="6"/>
      <c r="AE958" s="6"/>
      <c r="AF958" s="6"/>
      <c r="AG958" s="6"/>
      <c r="AH958" s="6"/>
      <c r="AI958" s="6"/>
      <c r="AJ958" s="6"/>
      <c r="AK958" s="6"/>
      <c r="AL958" s="6"/>
      <c r="AM958" s="6"/>
      <c r="AN958" s="6"/>
      <c r="AO958" s="6"/>
      <c r="AP958" s="6"/>
      <c r="AQ958" s="7"/>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6"/>
      <c r="AC959" s="6"/>
      <c r="AD959" s="6"/>
      <c r="AE959" s="6"/>
      <c r="AF959" s="6"/>
      <c r="AG959" s="6"/>
      <c r="AH959" s="6"/>
      <c r="AI959" s="6"/>
      <c r="AJ959" s="6"/>
      <c r="AK959" s="6"/>
      <c r="AL959" s="6"/>
      <c r="AM959" s="6"/>
      <c r="AN959" s="6"/>
      <c r="AO959" s="6"/>
      <c r="AP959" s="6"/>
      <c r="AQ959" s="7"/>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6"/>
      <c r="AC960" s="6"/>
      <c r="AD960" s="6"/>
      <c r="AE960" s="6"/>
      <c r="AF960" s="6"/>
      <c r="AG960" s="6"/>
      <c r="AH960" s="6"/>
      <c r="AI960" s="6"/>
      <c r="AJ960" s="6"/>
      <c r="AK960" s="6"/>
      <c r="AL960" s="6"/>
      <c r="AM960" s="6"/>
      <c r="AN960" s="6"/>
      <c r="AO960" s="6"/>
      <c r="AP960" s="6"/>
      <c r="AQ960" s="7"/>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6"/>
      <c r="AC961" s="6"/>
      <c r="AD961" s="6"/>
      <c r="AE961" s="6"/>
      <c r="AF961" s="6"/>
      <c r="AG961" s="6"/>
      <c r="AH961" s="6"/>
      <c r="AI961" s="6"/>
      <c r="AJ961" s="6"/>
      <c r="AK961" s="6"/>
      <c r="AL961" s="6"/>
      <c r="AM961" s="6"/>
      <c r="AN961" s="6"/>
      <c r="AO961" s="6"/>
      <c r="AP961" s="6"/>
      <c r="AQ961" s="7"/>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6"/>
      <c r="AC962" s="6"/>
      <c r="AD962" s="6"/>
      <c r="AE962" s="6"/>
      <c r="AF962" s="6"/>
      <c r="AG962" s="6"/>
      <c r="AH962" s="6"/>
      <c r="AI962" s="6"/>
      <c r="AJ962" s="6"/>
      <c r="AK962" s="6"/>
      <c r="AL962" s="6"/>
      <c r="AM962" s="6"/>
      <c r="AN962" s="6"/>
      <c r="AO962" s="6"/>
      <c r="AP962" s="6"/>
      <c r="AQ962" s="7"/>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6"/>
      <c r="AC963" s="6"/>
      <c r="AD963" s="6"/>
      <c r="AE963" s="6"/>
      <c r="AF963" s="6"/>
      <c r="AG963" s="6"/>
      <c r="AH963" s="6"/>
      <c r="AI963" s="6"/>
      <c r="AJ963" s="6"/>
      <c r="AK963" s="6"/>
      <c r="AL963" s="6"/>
      <c r="AM963" s="6"/>
      <c r="AN963" s="6"/>
      <c r="AO963" s="6"/>
      <c r="AP963" s="6"/>
      <c r="AQ963" s="7"/>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6"/>
      <c r="AC964" s="6"/>
      <c r="AD964" s="6"/>
      <c r="AE964" s="6"/>
      <c r="AF964" s="6"/>
      <c r="AG964" s="6"/>
      <c r="AH964" s="6"/>
      <c r="AI964" s="6"/>
      <c r="AJ964" s="6"/>
      <c r="AK964" s="6"/>
      <c r="AL964" s="6"/>
      <c r="AM964" s="6"/>
      <c r="AN964" s="6"/>
      <c r="AO964" s="6"/>
      <c r="AP964" s="6"/>
      <c r="AQ964" s="7"/>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6"/>
      <c r="AC965" s="6"/>
      <c r="AD965" s="6"/>
      <c r="AE965" s="6"/>
      <c r="AF965" s="6"/>
      <c r="AG965" s="6"/>
      <c r="AH965" s="6"/>
      <c r="AI965" s="6"/>
      <c r="AJ965" s="6"/>
      <c r="AK965" s="6"/>
      <c r="AL965" s="6"/>
      <c r="AM965" s="6"/>
      <c r="AN965" s="6"/>
      <c r="AO965" s="6"/>
      <c r="AP965" s="6"/>
      <c r="AQ965" s="7"/>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6"/>
      <c r="AC966" s="6"/>
      <c r="AD966" s="6"/>
      <c r="AE966" s="6"/>
      <c r="AF966" s="6"/>
      <c r="AG966" s="6"/>
      <c r="AH966" s="6"/>
      <c r="AI966" s="6"/>
      <c r="AJ966" s="6"/>
      <c r="AK966" s="6"/>
      <c r="AL966" s="6"/>
      <c r="AM966" s="6"/>
      <c r="AN966" s="6"/>
      <c r="AO966" s="6"/>
      <c r="AP966" s="6"/>
      <c r="AQ966" s="7"/>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6"/>
      <c r="AC967" s="6"/>
      <c r="AD967" s="6"/>
      <c r="AE967" s="6"/>
      <c r="AF967" s="6"/>
      <c r="AG967" s="6"/>
      <c r="AH967" s="6"/>
      <c r="AI967" s="6"/>
      <c r="AJ967" s="6"/>
      <c r="AK967" s="6"/>
      <c r="AL967" s="6"/>
      <c r="AM967" s="6"/>
      <c r="AN967" s="6"/>
      <c r="AO967" s="6"/>
      <c r="AP967" s="6"/>
      <c r="AQ967" s="7"/>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6"/>
      <c r="AC968" s="6"/>
      <c r="AD968" s="6"/>
      <c r="AE968" s="6"/>
      <c r="AF968" s="6"/>
      <c r="AG968" s="6"/>
      <c r="AH968" s="6"/>
      <c r="AI968" s="6"/>
      <c r="AJ968" s="6"/>
      <c r="AK968" s="6"/>
      <c r="AL968" s="6"/>
      <c r="AM968" s="6"/>
      <c r="AN968" s="6"/>
      <c r="AO968" s="6"/>
      <c r="AP968" s="6"/>
      <c r="AQ968" s="7"/>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6"/>
      <c r="AC969" s="6"/>
      <c r="AD969" s="6"/>
      <c r="AE969" s="6"/>
      <c r="AF969" s="6"/>
      <c r="AG969" s="6"/>
      <c r="AH969" s="6"/>
      <c r="AI969" s="6"/>
      <c r="AJ969" s="6"/>
      <c r="AK969" s="6"/>
      <c r="AL969" s="6"/>
      <c r="AM969" s="6"/>
      <c r="AN969" s="6"/>
      <c r="AO969" s="6"/>
      <c r="AP969" s="6"/>
      <c r="AQ969" s="7"/>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6"/>
      <c r="AC970" s="6"/>
      <c r="AD970" s="6"/>
      <c r="AE970" s="6"/>
      <c r="AF970" s="6"/>
      <c r="AG970" s="6"/>
      <c r="AH970" s="6"/>
      <c r="AI970" s="6"/>
      <c r="AJ970" s="6"/>
      <c r="AK970" s="6"/>
      <c r="AL970" s="6"/>
      <c r="AM970" s="6"/>
      <c r="AN970" s="6"/>
      <c r="AO970" s="6"/>
      <c r="AP970" s="6"/>
      <c r="AQ970" s="7"/>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6"/>
      <c r="AC971" s="6"/>
      <c r="AD971" s="6"/>
      <c r="AE971" s="6"/>
      <c r="AF971" s="6"/>
      <c r="AG971" s="6"/>
      <c r="AH971" s="6"/>
      <c r="AI971" s="6"/>
      <c r="AJ971" s="6"/>
      <c r="AK971" s="6"/>
      <c r="AL971" s="6"/>
      <c r="AM971" s="6"/>
      <c r="AN971" s="6"/>
      <c r="AO971" s="6"/>
      <c r="AP971" s="6"/>
      <c r="AQ971" s="7"/>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6"/>
      <c r="AC972" s="6"/>
      <c r="AD972" s="6"/>
      <c r="AE972" s="6"/>
      <c r="AF972" s="6"/>
      <c r="AG972" s="6"/>
      <c r="AH972" s="6"/>
      <c r="AI972" s="6"/>
      <c r="AJ972" s="6"/>
      <c r="AK972" s="6"/>
      <c r="AL972" s="6"/>
      <c r="AM972" s="6"/>
      <c r="AN972" s="6"/>
      <c r="AO972" s="6"/>
      <c r="AP972" s="6"/>
      <c r="AQ972" s="7"/>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6"/>
      <c r="AC973" s="6"/>
      <c r="AD973" s="6"/>
      <c r="AE973" s="6"/>
      <c r="AF973" s="6"/>
      <c r="AG973" s="6"/>
      <c r="AH973" s="6"/>
      <c r="AI973" s="6"/>
      <c r="AJ973" s="6"/>
      <c r="AK973" s="6"/>
      <c r="AL973" s="6"/>
      <c r="AM973" s="6"/>
      <c r="AN973" s="6"/>
      <c r="AO973" s="6"/>
      <c r="AP973" s="6"/>
      <c r="AQ973" s="7"/>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6"/>
      <c r="AC974" s="6"/>
      <c r="AD974" s="6"/>
      <c r="AE974" s="6"/>
      <c r="AF974" s="6"/>
      <c r="AG974" s="6"/>
      <c r="AH974" s="6"/>
      <c r="AI974" s="6"/>
      <c r="AJ974" s="6"/>
      <c r="AK974" s="6"/>
      <c r="AL974" s="6"/>
      <c r="AM974" s="6"/>
      <c r="AN974" s="6"/>
      <c r="AO974" s="6"/>
      <c r="AP974" s="6"/>
      <c r="AQ974" s="7"/>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6"/>
      <c r="AC975" s="6"/>
      <c r="AD975" s="6"/>
      <c r="AE975" s="6"/>
      <c r="AF975" s="6"/>
      <c r="AG975" s="6"/>
      <c r="AH975" s="6"/>
      <c r="AI975" s="6"/>
      <c r="AJ975" s="6"/>
      <c r="AK975" s="6"/>
      <c r="AL975" s="6"/>
      <c r="AM975" s="6"/>
      <c r="AN975" s="6"/>
      <c r="AO975" s="6"/>
      <c r="AP975" s="6"/>
      <c r="AQ975" s="7"/>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6"/>
      <c r="AC976" s="6"/>
      <c r="AD976" s="6"/>
      <c r="AE976" s="6"/>
      <c r="AF976" s="6"/>
      <c r="AG976" s="6"/>
      <c r="AH976" s="6"/>
      <c r="AI976" s="6"/>
      <c r="AJ976" s="6"/>
      <c r="AK976" s="6"/>
      <c r="AL976" s="6"/>
      <c r="AM976" s="6"/>
      <c r="AN976" s="6"/>
      <c r="AO976" s="6"/>
      <c r="AP976" s="6"/>
      <c r="AQ976" s="7"/>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6"/>
      <c r="AC977" s="6"/>
      <c r="AD977" s="6"/>
      <c r="AE977" s="6"/>
      <c r="AF977" s="6"/>
      <c r="AG977" s="6"/>
      <c r="AH977" s="6"/>
      <c r="AI977" s="6"/>
      <c r="AJ977" s="6"/>
      <c r="AK977" s="6"/>
      <c r="AL977" s="6"/>
      <c r="AM977" s="6"/>
      <c r="AN977" s="6"/>
      <c r="AO977" s="6"/>
      <c r="AP977" s="6"/>
      <c r="AQ977" s="7"/>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6"/>
      <c r="AC978" s="6"/>
      <c r="AD978" s="6"/>
      <c r="AE978" s="6"/>
      <c r="AF978" s="6"/>
      <c r="AG978" s="6"/>
      <c r="AH978" s="6"/>
      <c r="AI978" s="6"/>
      <c r="AJ978" s="6"/>
      <c r="AK978" s="6"/>
      <c r="AL978" s="6"/>
      <c r="AM978" s="6"/>
      <c r="AN978" s="6"/>
      <c r="AO978" s="6"/>
      <c r="AP978" s="6"/>
      <c r="AQ978" s="7"/>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6"/>
      <c r="AC979" s="6"/>
      <c r="AD979" s="6"/>
      <c r="AE979" s="6"/>
      <c r="AF979" s="6"/>
      <c r="AG979" s="6"/>
      <c r="AH979" s="6"/>
      <c r="AI979" s="6"/>
      <c r="AJ979" s="6"/>
      <c r="AK979" s="6"/>
      <c r="AL979" s="6"/>
      <c r="AM979" s="6"/>
      <c r="AN979" s="6"/>
      <c r="AO979" s="6"/>
      <c r="AP979" s="6"/>
      <c r="AQ979" s="7"/>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6"/>
      <c r="AC980" s="6"/>
      <c r="AD980" s="6"/>
      <c r="AE980" s="6"/>
      <c r="AF980" s="6"/>
      <c r="AG980" s="6"/>
      <c r="AH980" s="6"/>
      <c r="AI980" s="6"/>
      <c r="AJ980" s="6"/>
      <c r="AK980" s="6"/>
      <c r="AL980" s="6"/>
      <c r="AM980" s="6"/>
      <c r="AN980" s="6"/>
      <c r="AO980" s="6"/>
      <c r="AP980" s="6"/>
      <c r="AQ980" s="7"/>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6"/>
      <c r="AC981" s="6"/>
      <c r="AD981" s="6"/>
      <c r="AE981" s="6"/>
      <c r="AF981" s="6"/>
      <c r="AG981" s="6"/>
      <c r="AH981" s="6"/>
      <c r="AI981" s="6"/>
      <c r="AJ981" s="6"/>
      <c r="AK981" s="6"/>
      <c r="AL981" s="6"/>
      <c r="AM981" s="6"/>
      <c r="AN981" s="6"/>
      <c r="AO981" s="6"/>
      <c r="AP981" s="6"/>
      <c r="AQ981" s="7"/>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6"/>
      <c r="AC982" s="6"/>
      <c r="AD982" s="6"/>
      <c r="AE982" s="6"/>
      <c r="AF982" s="6"/>
      <c r="AG982" s="6"/>
      <c r="AH982" s="6"/>
      <c r="AI982" s="6"/>
      <c r="AJ982" s="6"/>
      <c r="AK982" s="6"/>
      <c r="AL982" s="6"/>
      <c r="AM982" s="6"/>
      <c r="AN982" s="6"/>
      <c r="AO982" s="6"/>
      <c r="AP982" s="6"/>
      <c r="AQ982" s="7"/>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6"/>
      <c r="AC983" s="6"/>
      <c r="AD983" s="6"/>
      <c r="AE983" s="6"/>
      <c r="AF983" s="6"/>
      <c r="AG983" s="6"/>
      <c r="AH983" s="6"/>
      <c r="AI983" s="6"/>
      <c r="AJ983" s="6"/>
      <c r="AK983" s="6"/>
      <c r="AL983" s="6"/>
      <c r="AM983" s="6"/>
      <c r="AN983" s="6"/>
      <c r="AO983" s="6"/>
      <c r="AP983" s="6"/>
      <c r="AQ983" s="7"/>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6"/>
      <c r="AC984" s="6"/>
      <c r="AD984" s="6"/>
      <c r="AE984" s="6"/>
      <c r="AF984" s="6"/>
      <c r="AG984" s="6"/>
      <c r="AH984" s="6"/>
      <c r="AI984" s="6"/>
      <c r="AJ984" s="6"/>
      <c r="AK984" s="6"/>
      <c r="AL984" s="6"/>
      <c r="AM984" s="6"/>
      <c r="AN984" s="6"/>
      <c r="AO984" s="6"/>
      <c r="AP984" s="6"/>
      <c r="AQ984" s="7"/>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6"/>
      <c r="AC985" s="6"/>
      <c r="AD985" s="6"/>
      <c r="AE985" s="6"/>
      <c r="AF985" s="6"/>
      <c r="AG985" s="6"/>
      <c r="AH985" s="6"/>
      <c r="AI985" s="6"/>
      <c r="AJ985" s="6"/>
      <c r="AK985" s="6"/>
      <c r="AL985" s="6"/>
      <c r="AM985" s="6"/>
      <c r="AN985" s="6"/>
      <c r="AO985" s="6"/>
      <c r="AP985" s="6"/>
      <c r="AQ985" s="7"/>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6"/>
      <c r="AC986" s="6"/>
      <c r="AD986" s="6"/>
      <c r="AE986" s="6"/>
      <c r="AF986" s="6"/>
      <c r="AG986" s="6"/>
      <c r="AH986" s="6"/>
      <c r="AI986" s="6"/>
      <c r="AJ986" s="6"/>
      <c r="AK986" s="6"/>
      <c r="AL986" s="6"/>
      <c r="AM986" s="6"/>
      <c r="AN986" s="6"/>
      <c r="AO986" s="6"/>
      <c r="AP986" s="6"/>
      <c r="AQ986" s="7"/>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6"/>
      <c r="AC987" s="6"/>
      <c r="AD987" s="6"/>
      <c r="AE987" s="6"/>
      <c r="AF987" s="6"/>
      <c r="AG987" s="6"/>
      <c r="AH987" s="6"/>
      <c r="AI987" s="6"/>
      <c r="AJ987" s="6"/>
      <c r="AK987" s="6"/>
      <c r="AL987" s="6"/>
      <c r="AM987" s="6"/>
      <c r="AN987" s="6"/>
      <c r="AO987" s="6"/>
      <c r="AP987" s="6"/>
      <c r="AQ987" s="7"/>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6"/>
      <c r="AC988" s="6"/>
      <c r="AD988" s="6"/>
      <c r="AE988" s="6"/>
      <c r="AF988" s="6"/>
      <c r="AG988" s="6"/>
      <c r="AH988" s="6"/>
      <c r="AI988" s="6"/>
      <c r="AJ988" s="6"/>
      <c r="AK988" s="6"/>
      <c r="AL988" s="6"/>
      <c r="AM988" s="6"/>
      <c r="AN988" s="6"/>
      <c r="AO988" s="6"/>
      <c r="AP988" s="6"/>
      <c r="AQ988" s="7"/>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6"/>
      <c r="AC989" s="6"/>
      <c r="AD989" s="6"/>
      <c r="AE989" s="6"/>
      <c r="AF989" s="6"/>
      <c r="AG989" s="6"/>
      <c r="AH989" s="6"/>
      <c r="AI989" s="6"/>
      <c r="AJ989" s="6"/>
      <c r="AK989" s="6"/>
      <c r="AL989" s="6"/>
      <c r="AM989" s="6"/>
      <c r="AN989" s="6"/>
      <c r="AO989" s="6"/>
      <c r="AP989" s="6"/>
      <c r="AQ989" s="7"/>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6"/>
      <c r="AC990" s="6"/>
      <c r="AD990" s="6"/>
      <c r="AE990" s="6"/>
      <c r="AF990" s="6"/>
      <c r="AG990" s="6"/>
      <c r="AH990" s="6"/>
      <c r="AI990" s="6"/>
      <c r="AJ990" s="6"/>
      <c r="AK990" s="6"/>
      <c r="AL990" s="6"/>
      <c r="AM990" s="6"/>
      <c r="AN990" s="6"/>
      <c r="AO990" s="6"/>
      <c r="AP990" s="6"/>
      <c r="AQ990" s="7"/>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6"/>
      <c r="AC991" s="6"/>
      <c r="AD991" s="6"/>
      <c r="AE991" s="6"/>
      <c r="AF991" s="6"/>
      <c r="AG991" s="6"/>
      <c r="AH991" s="6"/>
      <c r="AI991" s="6"/>
      <c r="AJ991" s="6"/>
      <c r="AK991" s="6"/>
      <c r="AL991" s="6"/>
      <c r="AM991" s="6"/>
      <c r="AN991" s="6"/>
      <c r="AO991" s="6"/>
      <c r="AP991" s="6"/>
      <c r="AQ991" s="7"/>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6"/>
      <c r="AC992" s="6"/>
      <c r="AD992" s="6"/>
      <c r="AE992" s="6"/>
      <c r="AF992" s="6"/>
      <c r="AG992" s="6"/>
      <c r="AH992" s="6"/>
      <c r="AI992" s="6"/>
      <c r="AJ992" s="6"/>
      <c r="AK992" s="6"/>
      <c r="AL992" s="6"/>
      <c r="AM992" s="6"/>
      <c r="AN992" s="6"/>
      <c r="AO992" s="6"/>
      <c r="AP992" s="6"/>
      <c r="AQ992" s="7"/>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6"/>
      <c r="AC993" s="6"/>
      <c r="AD993" s="6"/>
      <c r="AE993" s="6"/>
      <c r="AF993" s="6"/>
      <c r="AG993" s="6"/>
      <c r="AH993" s="6"/>
      <c r="AI993" s="6"/>
      <c r="AJ993" s="6"/>
      <c r="AK993" s="6"/>
      <c r="AL993" s="6"/>
      <c r="AM993" s="6"/>
      <c r="AN993" s="6"/>
      <c r="AO993" s="6"/>
      <c r="AP993" s="6"/>
      <c r="AQ993" s="7"/>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6"/>
      <c r="AC994" s="6"/>
      <c r="AD994" s="6"/>
      <c r="AE994" s="6"/>
      <c r="AF994" s="6"/>
      <c r="AG994" s="6"/>
      <c r="AH994" s="6"/>
      <c r="AI994" s="6"/>
      <c r="AJ994" s="6"/>
      <c r="AK994" s="6"/>
      <c r="AL994" s="6"/>
      <c r="AM994" s="6"/>
      <c r="AN994" s="6"/>
      <c r="AO994" s="6"/>
      <c r="AP994" s="6"/>
      <c r="AQ994" s="7"/>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6"/>
      <c r="AC995" s="6"/>
      <c r="AD995" s="6"/>
      <c r="AE995" s="6"/>
      <c r="AF995" s="6"/>
      <c r="AG995" s="6"/>
      <c r="AH995" s="6"/>
      <c r="AI995" s="6"/>
      <c r="AJ995" s="6"/>
      <c r="AK995" s="6"/>
      <c r="AL995" s="6"/>
      <c r="AM995" s="6"/>
      <c r="AN995" s="6"/>
      <c r="AO995" s="6"/>
      <c r="AP995" s="6"/>
      <c r="AQ995" s="7"/>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6"/>
      <c r="AC996" s="6"/>
      <c r="AD996" s="6"/>
      <c r="AE996" s="6"/>
      <c r="AF996" s="6"/>
      <c r="AG996" s="6"/>
      <c r="AH996" s="6"/>
      <c r="AI996" s="6"/>
      <c r="AJ996" s="6"/>
      <c r="AK996" s="6"/>
      <c r="AL996" s="6"/>
      <c r="AM996" s="6"/>
      <c r="AN996" s="6"/>
      <c r="AO996" s="6"/>
      <c r="AP996" s="6"/>
      <c r="AQ996" s="7"/>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6"/>
      <c r="AC997" s="6"/>
      <c r="AD997" s="6"/>
      <c r="AE997" s="6"/>
      <c r="AF997" s="6"/>
      <c r="AG997" s="6"/>
      <c r="AH997" s="6"/>
      <c r="AI997" s="6"/>
      <c r="AJ997" s="6"/>
      <c r="AK997" s="6"/>
      <c r="AL997" s="6"/>
      <c r="AM997" s="6"/>
      <c r="AN997" s="6"/>
      <c r="AO997" s="6"/>
      <c r="AP997" s="6"/>
      <c r="AQ997" s="7"/>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6"/>
      <c r="AC998" s="6"/>
      <c r="AD998" s="6"/>
      <c r="AE998" s="6"/>
      <c r="AF998" s="6"/>
      <c r="AG998" s="6"/>
      <c r="AH998" s="6"/>
      <c r="AI998" s="6"/>
      <c r="AJ998" s="6"/>
      <c r="AK998" s="6"/>
      <c r="AL998" s="6"/>
      <c r="AM998" s="6"/>
      <c r="AN998" s="6"/>
      <c r="AO998" s="6"/>
      <c r="AP998" s="6"/>
      <c r="AQ998" s="7"/>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6"/>
      <c r="AC999" s="6"/>
      <c r="AD999" s="6"/>
      <c r="AE999" s="6"/>
      <c r="AF999" s="6"/>
      <c r="AG999" s="6"/>
      <c r="AH999" s="6"/>
      <c r="AI999" s="6"/>
      <c r="AJ999" s="6"/>
      <c r="AK999" s="6"/>
      <c r="AL999" s="6"/>
      <c r="AM999" s="6"/>
      <c r="AN999" s="6"/>
      <c r="AO999" s="6"/>
      <c r="AP999" s="6"/>
      <c r="AQ999" s="7"/>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6"/>
      <c r="AC1000" s="6"/>
      <c r="AD1000" s="6"/>
      <c r="AE1000" s="6"/>
      <c r="AF1000" s="6"/>
      <c r="AG1000" s="6"/>
      <c r="AH1000" s="6"/>
      <c r="AI1000" s="6"/>
      <c r="AJ1000" s="6"/>
      <c r="AK1000" s="6"/>
      <c r="AL1000" s="6"/>
      <c r="AM1000" s="6"/>
      <c r="AN1000" s="6"/>
      <c r="AO1000" s="6"/>
      <c r="AP1000" s="6"/>
      <c r="AQ1000" s="7"/>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row>
    <row r="100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6"/>
      <c r="AC1001" s="6"/>
      <c r="AD1001" s="6"/>
      <c r="AE1001" s="6"/>
      <c r="AF1001" s="6"/>
      <c r="AG1001" s="6"/>
      <c r="AH1001" s="6"/>
      <c r="AI1001" s="6"/>
      <c r="AJ1001" s="6"/>
      <c r="AK1001" s="6"/>
      <c r="AL1001" s="6"/>
      <c r="AM1001" s="6"/>
      <c r="AN1001" s="6"/>
      <c r="AO1001" s="6"/>
      <c r="AP1001" s="6"/>
      <c r="AQ1001" s="7"/>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row>
    <row r="10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6"/>
      <c r="AC1002" s="6"/>
      <c r="AD1002" s="6"/>
      <c r="AE1002" s="6"/>
      <c r="AF1002" s="6"/>
      <c r="AG1002" s="6"/>
      <c r="AH1002" s="6"/>
      <c r="AI1002" s="6"/>
      <c r="AJ1002" s="6"/>
      <c r="AK1002" s="6"/>
      <c r="AL1002" s="6"/>
      <c r="AM1002" s="6"/>
      <c r="AN1002" s="6"/>
      <c r="AO1002" s="6"/>
      <c r="AP1002" s="6"/>
      <c r="AQ1002" s="7"/>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row>
    <row r="10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6"/>
      <c r="AC1003" s="6"/>
      <c r="AD1003" s="6"/>
      <c r="AE1003" s="6"/>
      <c r="AF1003" s="6"/>
      <c r="AG1003" s="6"/>
      <c r="AH1003" s="6"/>
      <c r="AI1003" s="6"/>
      <c r="AJ1003" s="6"/>
      <c r="AK1003" s="6"/>
      <c r="AL1003" s="6"/>
      <c r="AM1003" s="6"/>
      <c r="AN1003" s="6"/>
      <c r="AO1003" s="6"/>
      <c r="AP1003" s="6"/>
      <c r="AQ1003" s="7"/>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row>
    <row r="100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6"/>
      <c r="AC1004" s="6"/>
      <c r="AD1004" s="6"/>
      <c r="AE1004" s="6"/>
      <c r="AF1004" s="6"/>
      <c r="AG1004" s="6"/>
      <c r="AH1004" s="6"/>
      <c r="AI1004" s="6"/>
      <c r="AJ1004" s="6"/>
      <c r="AK1004" s="6"/>
      <c r="AL1004" s="6"/>
      <c r="AM1004" s="6"/>
      <c r="AN1004" s="6"/>
      <c r="AO1004" s="6"/>
      <c r="AP1004" s="6"/>
      <c r="AQ1004" s="7"/>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row>
    <row r="100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6"/>
      <c r="AC1005" s="6"/>
      <c r="AD1005" s="6"/>
      <c r="AE1005" s="6"/>
      <c r="AF1005" s="6"/>
      <c r="AG1005" s="6"/>
      <c r="AH1005" s="6"/>
      <c r="AI1005" s="6"/>
      <c r="AJ1005" s="6"/>
      <c r="AK1005" s="6"/>
      <c r="AL1005" s="6"/>
      <c r="AM1005" s="6"/>
      <c r="AN1005" s="6"/>
      <c r="AO1005" s="6"/>
      <c r="AP1005" s="6"/>
      <c r="AQ1005" s="7"/>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row>
    <row r="1006">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6"/>
      <c r="AC1006" s="6"/>
      <c r="AD1006" s="6"/>
      <c r="AE1006" s="6"/>
      <c r="AF1006" s="6"/>
      <c r="AG1006" s="6"/>
      <c r="AH1006" s="6"/>
      <c r="AI1006" s="6"/>
      <c r="AJ1006" s="6"/>
      <c r="AK1006" s="6"/>
      <c r="AL1006" s="6"/>
      <c r="AM1006" s="6"/>
      <c r="AN1006" s="6"/>
      <c r="AO1006" s="6"/>
      <c r="AP1006" s="6"/>
      <c r="AQ1006" s="7"/>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row>
    <row r="1007">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6"/>
      <c r="AC1007" s="6"/>
      <c r="AD1007" s="6"/>
      <c r="AE1007" s="6"/>
      <c r="AF1007" s="6"/>
      <c r="AG1007" s="6"/>
      <c r="AH1007" s="6"/>
      <c r="AI1007" s="6"/>
      <c r="AJ1007" s="6"/>
      <c r="AK1007" s="6"/>
      <c r="AL1007" s="6"/>
      <c r="AM1007" s="6"/>
      <c r="AN1007" s="6"/>
      <c r="AO1007" s="6"/>
      <c r="AP1007" s="6"/>
      <c r="AQ1007" s="7"/>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row>
    <row r="100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6"/>
      <c r="AC1008" s="6"/>
      <c r="AD1008" s="6"/>
      <c r="AE1008" s="6"/>
      <c r="AF1008" s="6"/>
      <c r="AG1008" s="6"/>
      <c r="AH1008" s="6"/>
      <c r="AI1008" s="6"/>
      <c r="AJ1008" s="6"/>
      <c r="AK1008" s="6"/>
      <c r="AL1008" s="6"/>
      <c r="AM1008" s="6"/>
      <c r="AN1008" s="6"/>
      <c r="AO1008" s="6"/>
      <c r="AP1008" s="6"/>
      <c r="AQ1008" s="7"/>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row>
    <row r="100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6"/>
      <c r="AC1009" s="6"/>
      <c r="AD1009" s="6"/>
      <c r="AE1009" s="6"/>
      <c r="AF1009" s="6"/>
      <c r="AG1009" s="6"/>
      <c r="AH1009" s="6"/>
      <c r="AI1009" s="6"/>
      <c r="AJ1009" s="6"/>
      <c r="AK1009" s="6"/>
      <c r="AL1009" s="6"/>
      <c r="AM1009" s="6"/>
      <c r="AN1009" s="6"/>
      <c r="AO1009" s="6"/>
      <c r="AP1009" s="6"/>
      <c r="AQ1009" s="7"/>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row>
    <row r="1010">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6"/>
      <c r="AC1010" s="6"/>
      <c r="AD1010" s="6"/>
      <c r="AE1010" s="6"/>
      <c r="AF1010" s="6"/>
      <c r="AG1010" s="6"/>
      <c r="AH1010" s="6"/>
      <c r="AI1010" s="6"/>
      <c r="AJ1010" s="6"/>
      <c r="AK1010" s="6"/>
      <c r="AL1010" s="6"/>
      <c r="AM1010" s="6"/>
      <c r="AN1010" s="6"/>
      <c r="AO1010" s="6"/>
      <c r="AP1010" s="6"/>
      <c r="AQ1010" s="7"/>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row>
    <row r="1011">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6"/>
      <c r="AC1011" s="6"/>
      <c r="AD1011" s="6"/>
      <c r="AE1011" s="6"/>
      <c r="AF1011" s="6"/>
      <c r="AG1011" s="6"/>
      <c r="AH1011" s="6"/>
      <c r="AI1011" s="6"/>
      <c r="AJ1011" s="6"/>
      <c r="AK1011" s="6"/>
      <c r="AL1011" s="6"/>
      <c r="AM1011" s="6"/>
      <c r="AN1011" s="6"/>
      <c r="AO1011" s="6"/>
      <c r="AP1011" s="6"/>
      <c r="AQ1011" s="7"/>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row>
    <row r="101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6"/>
      <c r="AC1012" s="6"/>
      <c r="AD1012" s="6"/>
      <c r="AE1012" s="6"/>
      <c r="AF1012" s="6"/>
      <c r="AG1012" s="6"/>
      <c r="AH1012" s="6"/>
      <c r="AI1012" s="6"/>
      <c r="AJ1012" s="6"/>
      <c r="AK1012" s="6"/>
      <c r="AL1012" s="6"/>
      <c r="AM1012" s="6"/>
      <c r="AN1012" s="6"/>
      <c r="AO1012" s="6"/>
      <c r="AP1012" s="6"/>
      <c r="AQ1012" s="7"/>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row>
    <row r="101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6"/>
      <c r="AC1013" s="6"/>
      <c r="AD1013" s="6"/>
      <c r="AE1013" s="6"/>
      <c r="AF1013" s="6"/>
      <c r="AG1013" s="6"/>
      <c r="AH1013" s="6"/>
      <c r="AI1013" s="6"/>
      <c r="AJ1013" s="6"/>
      <c r="AK1013" s="6"/>
      <c r="AL1013" s="6"/>
      <c r="AM1013" s="6"/>
      <c r="AN1013" s="6"/>
      <c r="AO1013" s="6"/>
      <c r="AP1013" s="6"/>
      <c r="AQ1013" s="7"/>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row>
    <row r="1014">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6"/>
      <c r="AC1014" s="6"/>
      <c r="AD1014" s="6"/>
      <c r="AE1014" s="6"/>
      <c r="AF1014" s="6"/>
      <c r="AG1014" s="6"/>
      <c r="AH1014" s="6"/>
      <c r="AI1014" s="6"/>
      <c r="AJ1014" s="6"/>
      <c r="AK1014" s="6"/>
      <c r="AL1014" s="6"/>
      <c r="AM1014" s="6"/>
      <c r="AN1014" s="6"/>
      <c r="AO1014" s="6"/>
      <c r="AP1014" s="6"/>
      <c r="AQ1014" s="7"/>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row>
    <row r="101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6"/>
      <c r="AC1015" s="6"/>
      <c r="AD1015" s="6"/>
      <c r="AE1015" s="6"/>
      <c r="AF1015" s="6"/>
      <c r="AG1015" s="6"/>
      <c r="AH1015" s="6"/>
      <c r="AI1015" s="6"/>
      <c r="AJ1015" s="6"/>
      <c r="AK1015" s="6"/>
      <c r="AL1015" s="6"/>
      <c r="AM1015" s="6"/>
      <c r="AN1015" s="6"/>
      <c r="AO1015" s="6"/>
      <c r="AP1015" s="6"/>
      <c r="AQ1015" s="7"/>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row>
    <row r="1016">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6"/>
      <c r="AC1016" s="6"/>
      <c r="AD1016" s="6"/>
      <c r="AE1016" s="6"/>
      <c r="AF1016" s="6"/>
      <c r="AG1016" s="6"/>
      <c r="AH1016" s="6"/>
      <c r="AI1016" s="6"/>
      <c r="AJ1016" s="6"/>
      <c r="AK1016" s="6"/>
      <c r="AL1016" s="6"/>
      <c r="AM1016" s="6"/>
      <c r="AN1016" s="6"/>
      <c r="AO1016" s="6"/>
      <c r="AP1016" s="6"/>
      <c r="AQ1016" s="7"/>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row>
    <row r="1017">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6"/>
      <c r="AC1017" s="6"/>
      <c r="AD1017" s="6"/>
      <c r="AE1017" s="6"/>
      <c r="AF1017" s="6"/>
      <c r="AG1017" s="6"/>
      <c r="AH1017" s="6"/>
      <c r="AI1017" s="6"/>
      <c r="AJ1017" s="6"/>
      <c r="AK1017" s="6"/>
      <c r="AL1017" s="6"/>
      <c r="AM1017" s="6"/>
      <c r="AN1017" s="6"/>
      <c r="AO1017" s="6"/>
      <c r="AP1017" s="6"/>
      <c r="AQ1017" s="7"/>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row>
    <row r="1018">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6"/>
      <c r="AC1018" s="6"/>
      <c r="AD1018" s="6"/>
      <c r="AE1018" s="6"/>
      <c r="AF1018" s="6"/>
      <c r="AG1018" s="6"/>
      <c r="AH1018" s="6"/>
      <c r="AI1018" s="6"/>
      <c r="AJ1018" s="6"/>
      <c r="AK1018" s="6"/>
      <c r="AL1018" s="6"/>
      <c r="AM1018" s="6"/>
      <c r="AN1018" s="6"/>
      <c r="AO1018" s="6"/>
      <c r="AP1018" s="6"/>
      <c r="AQ1018" s="7"/>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row>
    <row r="1019">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6"/>
      <c r="AC1019" s="6"/>
      <c r="AD1019" s="6"/>
      <c r="AE1019" s="6"/>
      <c r="AF1019" s="6"/>
      <c r="AG1019" s="6"/>
      <c r="AH1019" s="6"/>
      <c r="AI1019" s="6"/>
      <c r="AJ1019" s="6"/>
      <c r="AK1019" s="6"/>
      <c r="AL1019" s="6"/>
      <c r="AM1019" s="6"/>
      <c r="AN1019" s="6"/>
      <c r="AO1019" s="6"/>
      <c r="AP1019" s="6"/>
      <c r="AQ1019" s="7"/>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row>
    <row r="1020">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6"/>
      <c r="AC1020" s="6"/>
      <c r="AD1020" s="6"/>
      <c r="AE1020" s="6"/>
      <c r="AF1020" s="6"/>
      <c r="AG1020" s="6"/>
      <c r="AH1020" s="6"/>
      <c r="AI1020" s="6"/>
      <c r="AJ1020" s="6"/>
      <c r="AK1020" s="6"/>
      <c r="AL1020" s="6"/>
      <c r="AM1020" s="6"/>
      <c r="AN1020" s="6"/>
      <c r="AO1020" s="6"/>
      <c r="AP1020" s="6"/>
      <c r="AQ1020" s="7"/>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row>
    <row r="1021">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6"/>
      <c r="AC1021" s="6"/>
      <c r="AD1021" s="6"/>
      <c r="AE1021" s="6"/>
      <c r="AF1021" s="6"/>
      <c r="AG1021" s="6"/>
      <c r="AH1021" s="6"/>
      <c r="AI1021" s="6"/>
      <c r="AJ1021" s="6"/>
      <c r="AK1021" s="6"/>
      <c r="AL1021" s="6"/>
      <c r="AM1021" s="6"/>
      <c r="AN1021" s="6"/>
      <c r="AO1021" s="6"/>
      <c r="AP1021" s="6"/>
      <c r="AQ1021" s="7"/>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row>
    <row r="102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6"/>
      <c r="AC1022" s="6"/>
      <c r="AD1022" s="6"/>
      <c r="AE1022" s="6"/>
      <c r="AF1022" s="6"/>
      <c r="AG1022" s="6"/>
      <c r="AH1022" s="6"/>
      <c r="AI1022" s="6"/>
      <c r="AJ1022" s="6"/>
      <c r="AK1022" s="6"/>
      <c r="AL1022" s="6"/>
      <c r="AM1022" s="6"/>
      <c r="AN1022" s="6"/>
      <c r="AO1022" s="6"/>
      <c r="AP1022" s="6"/>
      <c r="AQ1022" s="7"/>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row>
  </sheetData>
  <mergeCells count="75">
    <mergeCell ref="BF14:BF16"/>
    <mergeCell ref="BG14:BG16"/>
    <mergeCell ref="AY14:AY16"/>
    <mergeCell ref="AZ14:AZ16"/>
    <mergeCell ref="BA14:BA16"/>
    <mergeCell ref="BB14:BB16"/>
    <mergeCell ref="BC14:BC16"/>
    <mergeCell ref="BD14:BD16"/>
    <mergeCell ref="BE14:BE16"/>
    <mergeCell ref="BO14:BO16"/>
    <mergeCell ref="BP14:BP16"/>
    <mergeCell ref="BQ14:BQ16"/>
    <mergeCell ref="BR14:BR16"/>
    <mergeCell ref="BS14:BS16"/>
    <mergeCell ref="BH14:BH16"/>
    <mergeCell ref="BI14:BI16"/>
    <mergeCell ref="BJ14:BJ16"/>
    <mergeCell ref="BK14:BK16"/>
    <mergeCell ref="BL14:BL16"/>
    <mergeCell ref="BM14:BM16"/>
    <mergeCell ref="BN14:BN16"/>
    <mergeCell ref="U15:W15"/>
    <mergeCell ref="X15:Z15"/>
    <mergeCell ref="R14:R16"/>
    <mergeCell ref="S14:S16"/>
    <mergeCell ref="T14:T16"/>
    <mergeCell ref="U14:Z14"/>
    <mergeCell ref="AT14:AT16"/>
    <mergeCell ref="AW14:AW16"/>
    <mergeCell ref="AX14:AX16"/>
    <mergeCell ref="AR15:AS15"/>
    <mergeCell ref="B1:N1"/>
    <mergeCell ref="C2:C3"/>
    <mergeCell ref="D2:D3"/>
    <mergeCell ref="E2:E3"/>
    <mergeCell ref="H2:N2"/>
    <mergeCell ref="BC2:BC3"/>
    <mergeCell ref="B6:Z6"/>
    <mergeCell ref="BC7:BC8"/>
    <mergeCell ref="BD7:BD8"/>
    <mergeCell ref="BE7:BE8"/>
    <mergeCell ref="BF7:BF8"/>
    <mergeCell ref="BG7:BG8"/>
    <mergeCell ref="BH7:BH8"/>
    <mergeCell ref="BI7:BI8"/>
    <mergeCell ref="BL7:BL8"/>
    <mergeCell ref="H7:N7"/>
    <mergeCell ref="B11:Z11"/>
    <mergeCell ref="I12:N13"/>
    <mergeCell ref="Q12:T13"/>
    <mergeCell ref="U12:Z13"/>
    <mergeCell ref="AG12:AH12"/>
    <mergeCell ref="Q7:Q8"/>
    <mergeCell ref="R7:R8"/>
    <mergeCell ref="S7:S8"/>
    <mergeCell ref="T7:T8"/>
    <mergeCell ref="U7:Z7"/>
    <mergeCell ref="AT7:AT8"/>
    <mergeCell ref="AG8:AH8"/>
    <mergeCell ref="B2:B3"/>
    <mergeCell ref="B7:B8"/>
    <mergeCell ref="C7:C8"/>
    <mergeCell ref="D7:D8"/>
    <mergeCell ref="E7:E8"/>
    <mergeCell ref="F7:F8"/>
    <mergeCell ref="B12:E13"/>
    <mergeCell ref="I15:K15"/>
    <mergeCell ref="L15:N15"/>
    <mergeCell ref="B14:B16"/>
    <mergeCell ref="C14:C16"/>
    <mergeCell ref="D14:D16"/>
    <mergeCell ref="E14:E16"/>
    <mergeCell ref="F14:F16"/>
    <mergeCell ref="H14:N14"/>
    <mergeCell ref="Q14:Q16"/>
  </mergeCells>
  <conditionalFormatting sqref="AB1:AQ1022">
    <cfRule type="cellIs" dxfId="3" priority="1" operator="equal">
      <formula>"A"</formula>
    </cfRule>
  </conditionalFormatting>
  <conditionalFormatting sqref="AB1:AQ1022">
    <cfRule type="cellIs" dxfId="4" priority="2" operator="equal">
      <formula>"B"</formula>
    </cfRule>
  </conditionalFormatting>
  <conditionalFormatting sqref="AB1:AQ1022">
    <cfRule type="cellIs" dxfId="5" priority="3" operator="equal">
      <formula>"C1"</formula>
    </cfRule>
  </conditionalFormatting>
  <conditionalFormatting sqref="AB1:AQ1022">
    <cfRule type="cellIs" dxfId="6" priority="4" operator="equal">
      <formula>"C2"</formula>
    </cfRule>
  </conditionalFormatting>
  <conditionalFormatting sqref="AB1:AQ1022">
    <cfRule type="cellIs" dxfId="7" priority="5" operator="equal">
      <formula>"D"</formula>
    </cfRule>
  </conditionalFormatting>
  <conditionalFormatting sqref="AB1:AQ1022">
    <cfRule type="cellIs" dxfId="8" priority="6" operator="equal">
      <formula>"R"</formula>
    </cfRule>
  </conditionalFormatting>
  <conditionalFormatting sqref="AB1:AQ1022">
    <cfRule type="cellIs" dxfId="9" priority="7" operator="equal">
      <formula>"N"</formula>
    </cfRule>
  </conditionalFormatting>
  <conditionalFormatting sqref="AB1:AQ1022">
    <cfRule type="cellIs" dxfId="10" priority="8" operator="equal">
      <formula>"NL"</formula>
    </cfRule>
  </conditionalFormatting>
  <conditionalFormatting sqref="AB1:AQ1022">
    <cfRule type="cellIs" dxfId="11" priority="9" operator="equal">
      <formula>"A"</formula>
    </cfRule>
  </conditionalFormatting>
  <dataValidations>
    <dataValidation type="list" allowBlank="1" showErrorMessage="1" sqref="K4 K17:K116 W17:W116">
      <formula1>"MC,-"</formula1>
    </dataValidation>
  </dataValidations>
  <drawing r:id="rId1"/>
  <tableParts count="2">
    <tablePart r:id="rId4"/>
    <tablePart r:id="rId5"/>
  </tableParts>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1" width="4.25"/>
    <col customWidth="1" hidden="1" min="2" max="2" width="7.13"/>
    <col customWidth="1" min="3" max="3" width="1.75"/>
    <col customWidth="1" min="4" max="8" width="6.38"/>
    <col customWidth="1" min="9" max="9" width="0.38"/>
  </cols>
  <sheetData>
    <row r="1" ht="25.5" hidden="1" customHeight="1"/>
    <row r="2" ht="6.0" customHeight="1">
      <c r="B2" s="268"/>
      <c r="C2" s="268"/>
    </row>
    <row r="3" ht="48.0" customHeight="1">
      <c r="D3" s="312" t="s">
        <v>115</v>
      </c>
    </row>
    <row r="4" ht="20.25" customHeight="1">
      <c r="D4" s="270">
        <f>NOW()</f>
        <v>46082.17201</v>
      </c>
    </row>
    <row r="5" ht="27.0" customHeight="1">
      <c r="A5" s="86" t="s">
        <v>73</v>
      </c>
      <c r="B5" s="86">
        <v>1.0</v>
      </c>
      <c r="D5" s="271" t="s">
        <v>80</v>
      </c>
      <c r="E5" s="272" t="s">
        <v>81</v>
      </c>
      <c r="F5" s="272" t="s">
        <v>82</v>
      </c>
      <c r="G5" s="273" t="s">
        <v>49</v>
      </c>
      <c r="H5" s="274"/>
    </row>
    <row r="6" ht="27.0" customHeight="1">
      <c r="A6" s="86"/>
      <c r="B6" s="86" t="s">
        <v>116</v>
      </c>
      <c r="D6" s="275">
        <f t="array" ref="D6">IFERROR(INDEX('計測入力シート（ここのみ編集可）'!$BN$17:$BN$116,MATCH(A5&amp;B5,'計測入力シート（ここのみ編集可）'!$BO$17:$BO$116,0)),"")</f>
        <v>1</v>
      </c>
      <c r="E6" s="276" t="str">
        <f t="array" ref="E6">IFERROR(INDEX('計測入力シート（ここのみ編集可）'!$BP$17:$BP$116,MATCH(A5&amp;B5,'計測入力シート（ここのみ編集可）'!$BO$17:$BO$116,0)),"")</f>
        <v>-</v>
      </c>
      <c r="F6" s="277" t="str">
        <f t="array" ref="F6">IFERROR(INDEX('計測入力シート（ここのみ編集可）'!$BR$17:$BR$116,MATCH(A5&amp;B5,'計測入力シート（ここのみ編集可）'!$BO$17:$BO$116,0)),"")</f>
        <v>-</v>
      </c>
      <c r="G6" s="278">
        <f t="array" ref="G6">IFERROR(INDEX('計測入力シート（ここのみ編集可）'!$BL$17:$BL$116,MATCH(A5&amp;B5,'計測入力シート（ここのみ編集可）'!$BO$17:$BO$116,0)),"")</f>
        <v>4</v>
      </c>
      <c r="H6" s="279"/>
    </row>
    <row r="7" ht="27.0" customHeight="1">
      <c r="D7" s="280" t="s">
        <v>2</v>
      </c>
      <c r="E7" s="281">
        <f t="array" ref="E7">IFERROR(INDEX('計測入力シート（ここのみ編集可）'!$C$17:$C$116,MATCH(A5&amp;B5,'計測入力シート（ここのみ編集可）'!$BO$17:$BO$116,0)),"")</f>
        <v>36</v>
      </c>
      <c r="F7" s="282" t="s">
        <v>17</v>
      </c>
      <c r="G7" s="283" t="str">
        <f t="array" ref="G7">IFERROR(INDEX('計測入力シート（ここのみ編集可）'!$D$17:$D$116,MATCH(A5&amp;B5,'計測入力シート（ここのみ編集可）'!$BO$17:$BO$116,0)),"")</f>
        <v>かねなしんちゃん</v>
      </c>
      <c r="H7" s="284"/>
    </row>
    <row r="8" ht="27.0" customHeight="1">
      <c r="D8" s="285" t="s">
        <v>1</v>
      </c>
      <c r="E8" s="286" t="str">
        <f t="array" ref="E8">IFERROR(INDEX('計測入力シート（ここのみ編集可）'!$B$17:$B$116,MATCH(A5&amp;B5,'計測入力シート（ここのみ編集可）'!$BO$17:$BO$116,0)),"")</f>
        <v>C2</v>
      </c>
      <c r="F8" s="287" t="s">
        <v>18</v>
      </c>
      <c r="G8" s="288" t="str">
        <f t="array" ref="G8">IFERROR(INDEX('計測入力シート（ここのみ編集可）'!$E$17:$E$116,MATCH(A5&amp;B5,'計測入力シート（ここのみ編集可）'!$BO$17:$BO$116,0)),"")</f>
        <v>NINJA400</v>
      </c>
      <c r="H8" s="289"/>
    </row>
    <row r="9" ht="24.75" customHeight="1">
      <c r="D9" s="290" t="s">
        <v>92</v>
      </c>
      <c r="E9" s="291" t="str">
        <f t="array" ref="E9">IFERROR(INDEX(#REF!,MATCH(A5&amp;B5,'計測入力シート（ここのみ編集可）'!$BO$17:$BO$116,0)),"")</f>
        <v/>
      </c>
      <c r="H9" s="232"/>
    </row>
    <row r="10" ht="52.5" customHeight="1">
      <c r="D10" s="292" t="s">
        <v>100</v>
      </c>
      <c r="E10" s="293" t="str">
        <f t="array" ref="E10">IFERROR(INDEX(#REF!,MATCH(A5&amp;B5,'計測入力シート（ここのみ編集可）'!$BO$17:$BO$116,0)),"")</f>
        <v/>
      </c>
      <c r="F10" s="95"/>
      <c r="G10" s="95"/>
      <c r="H10" s="96"/>
    </row>
    <row r="11" ht="20.25" customHeight="1">
      <c r="D11" s="294" t="s">
        <v>39</v>
      </c>
      <c r="E11" s="295" t="str">
        <f t="array" ref="E11">IFERROR(INDEX('計測入力シート（ここのみ編集可）'!$AW$17:$AW$116,MATCH(A5&amp;B5,'計測入力シート（ここのみ編集可）'!$BO$17:$BO$116,0)),"")</f>
        <v>1:41:725</v>
      </c>
      <c r="F11" s="296"/>
      <c r="G11" s="297" t="s">
        <v>110</v>
      </c>
      <c r="H11" s="298" t="str">
        <f t="array" ref="H11">IFERROR(INDEX('計測入力シート（ここのみ編集可）'!$AY$17:$AY$116,MATCH(A5&amp;B5,'計測入力シート（ここのみ編集可）'!$BO$17:$BO$116,0)),"")</f>
        <v>-</v>
      </c>
    </row>
    <row r="12" ht="20.25" customHeight="1">
      <c r="D12" s="299" t="s">
        <v>42</v>
      </c>
      <c r="E12" s="300" t="str">
        <f t="array" ref="E12">IFERROR(INDEX('計測入力シート（ここのみ編集可）'!$AZ$17:$AZ$116,MATCH(A5&amp;B5,'計測入力シート（ここのみ編集可）'!$BO$17:$BO$116,0)),"")</f>
        <v>1:41:475</v>
      </c>
      <c r="F12" s="116"/>
      <c r="G12" s="301" t="s">
        <v>111</v>
      </c>
      <c r="H12" s="302" t="str">
        <f t="array" ref="H12">IFERROR(INDEX('計測入力シート（ここのみ編集可）'!$BB$17:$BB$116,MATCH(A5&amp;B5,'計測入力シート（ここのみ編集可）'!$BO$17:$BO$116,0)),"")</f>
        <v>-</v>
      </c>
    </row>
    <row r="13" ht="20.25" customHeight="1">
      <c r="D13" s="303" t="s">
        <v>112</v>
      </c>
      <c r="E13" s="304" t="str">
        <f t="array" ref="E13">IFERROR(INDEX('計測入力シート（ここのみ編集可）'!$BC$17:$BC$116,MATCH(A5&amp;B5,'計測入力シート（ここのみ編集可）'!$BO$17:$BO$116,0)),"")</f>
        <v>1:41:475</v>
      </c>
      <c r="F13" s="305"/>
      <c r="G13" s="306" t="s">
        <v>25</v>
      </c>
      <c r="H13" s="307">
        <f t="array" ref="H13">IFERROR(INDEX('計測入力シート（ここのみ編集可）'!$BD$17:$BD$116,MATCH(A5&amp;B5,'計測入力シート（ここのみ編集可）'!$BO$17:$BO$116,0)),"")</f>
        <v>1.039638957</v>
      </c>
    </row>
    <row r="14" ht="20.25" customHeight="1">
      <c r="D14" s="308"/>
    </row>
    <row r="15" ht="27.0" customHeight="1">
      <c r="A15" s="52" t="str">
        <f>A5</f>
        <v>C2</v>
      </c>
      <c r="B15" s="52">
        <f>B5+1</f>
        <v>2</v>
      </c>
      <c r="D15" s="271" t="s">
        <v>80</v>
      </c>
      <c r="E15" s="272" t="s">
        <v>81</v>
      </c>
      <c r="F15" s="272" t="s">
        <v>82</v>
      </c>
      <c r="G15" s="273" t="s">
        <v>49</v>
      </c>
      <c r="H15" s="274"/>
    </row>
    <row r="16" ht="27.0" customHeight="1">
      <c r="A16" s="86"/>
      <c r="B16" s="86"/>
      <c r="D16" s="275">
        <f t="array" ref="D16">IFERROR(INDEX('計測入力シート（ここのみ編集可）'!$BN$17:$BN$116,MATCH(A15&amp;B15,'計測入力シート（ここのみ編集可）'!$BO$17:$BO$116,0)),"")</f>
        <v>2</v>
      </c>
      <c r="E16" s="276" t="str">
        <f t="array" ref="E16">IFERROR(INDEX('計測入力シート（ここのみ編集可）'!$BP$17:$BP$116,MATCH(A15&amp;B15,'計測入力シート（ここのみ編集可）'!$BO$17:$BO$116,0)),"")</f>
        <v>-</v>
      </c>
      <c r="F16" s="277" t="str">
        <f t="array" ref="F16">IFERROR(INDEX('計測入力シート（ここのみ編集可）'!$BR$17:$BR$116,MATCH(A15&amp;B15,'計測入力シート（ここのみ編集可）'!$BO$17:$BO$116,0)),"")</f>
        <v>-</v>
      </c>
      <c r="G16" s="278">
        <f t="array" ref="G16">IFERROR(INDEX('計測入力シート（ここのみ編集可）'!$BL$17:$BL$116,MATCH(A15&amp;B15,'計測入力シート（ここのみ編集可）'!$BO$17:$BO$116,0)),"")</f>
        <v>12</v>
      </c>
      <c r="H16" s="279"/>
    </row>
    <row r="17" ht="27.0" customHeight="1">
      <c r="D17" s="280" t="s">
        <v>2</v>
      </c>
      <c r="E17" s="281">
        <f t="array" ref="E17">IFERROR(INDEX('計測入力シート（ここのみ編集可）'!$C$17:$C$116,MATCH(A15&amp;B15,'計測入力シート（ここのみ編集可）'!$BO$17:$BO$116,0)),"")</f>
        <v>37</v>
      </c>
      <c r="F17" s="282" t="s">
        <v>17</v>
      </c>
      <c r="G17" s="283" t="str">
        <f t="array" ref="G17">IFERROR(INDEX('計測入力シート（ここのみ編集可）'!$D$17:$D$116,MATCH(A15&amp;B15,'計測入力シート（ここのみ編集可）'!$BO$17:$BO$116,0)),"")</f>
        <v>TAM</v>
      </c>
      <c r="H17" s="284"/>
    </row>
    <row r="18" ht="27.0" customHeight="1">
      <c r="D18" s="285" t="s">
        <v>1</v>
      </c>
      <c r="E18" s="286" t="str">
        <f t="array" ref="E18">IFERROR(INDEX('計測入力シート（ここのみ編集可）'!$B$17:$B$116,MATCH(A15&amp;B15,'計測入力シート（ここのみ編集可）'!$BO$17:$BO$116,0)),"")</f>
        <v>C2</v>
      </c>
      <c r="F18" s="287" t="s">
        <v>18</v>
      </c>
      <c r="G18" s="288" t="str">
        <f t="array" ref="G18">IFERROR(INDEX('計測入力シート（ここのみ編集可）'!$E$17:$E$116,MATCH(A15&amp;B15,'計測入力シート（ここのみ編集可）'!$BO$17:$BO$116,0)),"")</f>
        <v>GROM</v>
      </c>
      <c r="H18" s="289"/>
    </row>
    <row r="19" ht="24.75" customHeight="1">
      <c r="D19" s="290" t="s">
        <v>92</v>
      </c>
      <c r="E19" s="291" t="str">
        <f t="array" ref="E19">IFERROR(INDEX(#REF!,MATCH(A15&amp;B15,'計測入力シート（ここのみ編集可）'!$BO$17:$BO$116,0)),"")</f>
        <v/>
      </c>
      <c r="H19" s="232"/>
    </row>
    <row r="20" ht="52.5" customHeight="1">
      <c r="D20" s="292" t="s">
        <v>100</v>
      </c>
      <c r="E20" s="293" t="str">
        <f t="array" ref="E20">IFERROR(INDEX(#REF!,MATCH(A15&amp;B15,'計測入力シート（ここのみ編集可）'!$BO$17:$BO$116,0)),"")</f>
        <v/>
      </c>
      <c r="F20" s="95"/>
      <c r="G20" s="95"/>
      <c r="H20" s="96"/>
    </row>
    <row r="21" ht="20.25" customHeight="1">
      <c r="D21" s="294" t="s">
        <v>39</v>
      </c>
      <c r="E21" s="295" t="str">
        <f t="array" ref="E21">IFERROR(INDEX('計測入力シート（ここのみ編集可）'!$AW$17:$AW$116,MATCH(A15&amp;B15,'計測入力シート（ここのみ編集可）'!$BO$17:$BO$116,0)),"")</f>
        <v>1:57:197</v>
      </c>
      <c r="F21" s="296"/>
      <c r="G21" s="297" t="s">
        <v>110</v>
      </c>
      <c r="H21" s="298" t="str">
        <f t="array" ref="H21">IFERROR(INDEX('計測入力シート（ここのみ編集可）'!$AY$17:$AY$116,MATCH(A15&amp;B15,'計測入力シート（ここのみ編集可）'!$BO$17:$BO$116,0)),"")</f>
        <v>-</v>
      </c>
    </row>
    <row r="22" ht="20.25" customHeight="1">
      <c r="D22" s="299" t="s">
        <v>42</v>
      </c>
      <c r="E22" s="300" t="str">
        <f t="array" ref="E22">IFERROR(INDEX('計測入力シート（ここのみ編集可）'!$AZ$17:$AZ$116,MATCH(A15&amp;B15,'計測入力シート（ここのみ編集可）'!$BO$17:$BO$116,0)),"")</f>
        <v>1:46:979</v>
      </c>
      <c r="F22" s="116"/>
      <c r="G22" s="301" t="s">
        <v>111</v>
      </c>
      <c r="H22" s="302" t="str">
        <f t="array" ref="H22">IFERROR(INDEX('計測入力シート（ここのみ編集可）'!$BB$17:$BB$116,MATCH(A15&amp;B15,'計測入力シート（ここのみ編集可）'!$BO$17:$BO$116,0)),"")</f>
        <v>-</v>
      </c>
    </row>
    <row r="23" ht="20.25" customHeight="1">
      <c r="D23" s="303" t="s">
        <v>112</v>
      </c>
      <c r="E23" s="304" t="str">
        <f t="array" ref="E23">IFERROR(INDEX('計測入力シート（ここのみ編集可）'!$BC$17:$BC$116,MATCH(A15&amp;B15,'計測入力シート（ここのみ編集可）'!$BO$17:$BO$116,0)),"")</f>
        <v>1:46:979</v>
      </c>
      <c r="F23" s="305"/>
      <c r="G23" s="306" t="s">
        <v>25</v>
      </c>
      <c r="H23" s="307">
        <f t="array" ref="H23">IFERROR(INDEX('計測入力シート（ここのみ編集可）'!$BD$17:$BD$116,MATCH(A15&amp;B15,'計測入力シート（ここのみ編集可）'!$BO$17:$BO$116,0)),"")</f>
        <v>1.096028933</v>
      </c>
    </row>
    <row r="24" ht="20.25" customHeight="1">
      <c r="D24" s="308"/>
    </row>
    <row r="25" ht="27.0" customHeight="1">
      <c r="A25" s="52" t="str">
        <f>A15</f>
        <v>C2</v>
      </c>
      <c r="B25" s="52">
        <f>B15+1</f>
        <v>3</v>
      </c>
      <c r="D25" s="271" t="s">
        <v>80</v>
      </c>
      <c r="E25" s="272" t="s">
        <v>81</v>
      </c>
      <c r="F25" s="272" t="s">
        <v>82</v>
      </c>
      <c r="G25" s="273" t="s">
        <v>49</v>
      </c>
      <c r="H25" s="274"/>
    </row>
    <row r="26" ht="27.0" customHeight="1">
      <c r="A26" s="86"/>
      <c r="B26" s="86"/>
      <c r="D26" s="275">
        <f t="array" ref="D26">IFERROR(INDEX('計測入力シート（ここのみ編集可）'!$BN$17:$BN$116,MATCH(A25&amp;B25,'計測入力シート（ここのみ編集可）'!$BO$17:$BO$116,0)),"")</f>
        <v>3</v>
      </c>
      <c r="E26" s="276" t="str">
        <f t="array" ref="E26">IFERROR(INDEX('計測入力シート（ここのみ編集可）'!$BP$17:$BP$116,MATCH(A25&amp;B25,'計測入力シート（ここのみ編集可）'!$BO$17:$BO$116,0)),"")</f>
        <v>-</v>
      </c>
      <c r="F26" s="277" t="str">
        <f t="array" ref="F26">IFERROR(INDEX('計測入力シート（ここのみ編集可）'!$BR$17:$BR$116,MATCH(A25&amp;B25,'計測入力シート（ここのみ編集可）'!$BO$17:$BO$116,0)),"")</f>
        <v>-</v>
      </c>
      <c r="G26" s="278">
        <f t="array" ref="G26">IFERROR(INDEX('計測入力シート（ここのみ編集可）'!$BL$17:$BL$116,MATCH(A25&amp;B25,'計測入力シート（ここのみ編集可）'!$BO$17:$BO$116,0)),"")</f>
        <v>14</v>
      </c>
      <c r="H26" s="279"/>
    </row>
    <row r="27" ht="27.0" customHeight="1">
      <c r="D27" s="280" t="s">
        <v>2</v>
      </c>
      <c r="E27" s="281">
        <f t="array" ref="E27">IFERROR(INDEX('計測入力シート（ここのみ編集可）'!$C$17:$C$116,MATCH(A25&amp;B25,'計測入力シート（ここのみ編集可）'!$BO$17:$BO$116,0)),"")</f>
        <v>33</v>
      </c>
      <c r="F27" s="282" t="s">
        <v>17</v>
      </c>
      <c r="G27" s="283" t="str">
        <f t="array" ref="G27">IFERROR(INDEX('計測入力シート（ここのみ編集可）'!$D$17:$D$116,MATCH(A25&amp;B25,'計測入力シート（ここのみ編集可）'!$BO$17:$BO$116,0)),"")</f>
        <v>浅野智博</v>
      </c>
      <c r="H27" s="284"/>
    </row>
    <row r="28" ht="27.0" customHeight="1">
      <c r="D28" s="285" t="s">
        <v>1</v>
      </c>
      <c r="E28" s="286" t="str">
        <f t="array" ref="E28">IFERROR(INDEX('計測入力シート（ここのみ編集可）'!$B$17:$B$116,MATCH(A25&amp;B25,'計測入力シート（ここのみ編集可）'!$BO$17:$BO$116,0)),"")</f>
        <v>C2</v>
      </c>
      <c r="F28" s="287" t="s">
        <v>18</v>
      </c>
      <c r="G28" s="288" t="str">
        <f t="array" ref="G28">IFERROR(INDEX('計測入力シート（ここのみ編集可）'!$E$17:$E$116,MATCH(A25&amp;B25,'計測入力シート（ここのみ編集可）'!$BO$17:$BO$116,0)),"")</f>
        <v>YZ250FX</v>
      </c>
      <c r="H28" s="289"/>
    </row>
    <row r="29" ht="24.75" customHeight="1">
      <c r="D29" s="290" t="s">
        <v>92</v>
      </c>
      <c r="E29" s="291" t="str">
        <f t="array" ref="E29">IFERROR(INDEX(#REF!,MATCH(A25&amp;B25,'計測入力シート（ここのみ編集可）'!$BO$17:$BO$116,0)),"")</f>
        <v/>
      </c>
      <c r="H29" s="232"/>
    </row>
    <row r="30" ht="52.5" customHeight="1">
      <c r="D30" s="292" t="s">
        <v>100</v>
      </c>
      <c r="E30" s="293" t="str">
        <f t="array" ref="E30">IFERROR(INDEX(#REF!,MATCH(A25&amp;B25,'計測入力シート（ここのみ編集可）'!$BO$17:$BO$116,0)),"")</f>
        <v/>
      </c>
      <c r="F30" s="95"/>
      <c r="G30" s="95"/>
      <c r="H30" s="96"/>
    </row>
    <row r="31" ht="20.25" customHeight="1">
      <c r="D31" s="294" t="s">
        <v>39</v>
      </c>
      <c r="E31" s="295" t="str">
        <f t="array" ref="E31">IFERROR(INDEX('計測入力シート（ここのみ編集可）'!$AW$17:$AW$116,MATCH(A25&amp;B25,'計測入力シート（ここのみ編集可）'!$BO$17:$BO$116,0)),"")</f>
        <v>9:99:999</v>
      </c>
      <c r="F31" s="296"/>
      <c r="G31" s="297" t="s">
        <v>110</v>
      </c>
      <c r="H31" s="298" t="str">
        <f t="array" ref="H31">IFERROR(INDEX('計測入力シート（ここのみ編集可）'!$AY$17:$AY$116,MATCH(A25&amp;B25,'計測入力シート（ここのみ編集可）'!$BO$17:$BO$116,0)),"")</f>
        <v>MC</v>
      </c>
    </row>
    <row r="32" ht="20.25" customHeight="1">
      <c r="D32" s="299" t="s">
        <v>42</v>
      </c>
      <c r="E32" s="300" t="str">
        <f t="array" ref="E32">IFERROR(INDEX('計測入力シート（ここのみ編集可）'!$AZ$17:$AZ$116,MATCH(A25&amp;B25,'計測入力シート（ここのみ編集可）'!$BO$17:$BO$116,0)),"")</f>
        <v>1:47:833</v>
      </c>
      <c r="F32" s="116"/>
      <c r="G32" s="301" t="s">
        <v>111</v>
      </c>
      <c r="H32" s="302" t="str">
        <f t="array" ref="H32">IFERROR(INDEX('計測入力シート（ここのみ編集可）'!$BB$17:$BB$116,MATCH(A25&amp;B25,'計測入力シート（ここのみ編集可）'!$BO$17:$BO$116,0)),"")</f>
        <v>-</v>
      </c>
    </row>
    <row r="33" ht="20.25" customHeight="1">
      <c r="D33" s="303" t="s">
        <v>112</v>
      </c>
      <c r="E33" s="304" t="str">
        <f t="array" ref="E33">IFERROR(INDEX('計測入力シート（ここのみ編集可）'!$BC$17:$BC$116,MATCH(A25&amp;B25,'計測入力シート（ここのみ編集可）'!$BO$17:$BO$116,0)),"")</f>
        <v>1:47:833</v>
      </c>
      <c r="F33" s="305"/>
      <c r="G33" s="306" t="s">
        <v>25</v>
      </c>
      <c r="H33" s="307">
        <f t="array" ref="H33">IFERROR(INDEX('計測入力シート（ここのみ編集可）'!$BD$17:$BD$116,MATCH(A25&amp;B25,'計測入力シート（ここのみ編集可）'!$BO$17:$BO$116,0)),"")</f>
        <v>1.104778395</v>
      </c>
    </row>
    <row r="34" ht="20.25" customHeight="1">
      <c r="D34" s="308"/>
    </row>
    <row r="35" ht="27.0" customHeight="1">
      <c r="A35" s="52" t="str">
        <f>A25</f>
        <v>C2</v>
      </c>
      <c r="B35" s="52">
        <f>B25+1</f>
        <v>4</v>
      </c>
      <c r="D35" s="271" t="s">
        <v>80</v>
      </c>
      <c r="E35" s="272" t="s">
        <v>81</v>
      </c>
      <c r="F35" s="272" t="s">
        <v>82</v>
      </c>
      <c r="G35" s="273" t="s">
        <v>49</v>
      </c>
      <c r="H35" s="274"/>
    </row>
    <row r="36" ht="27.0" customHeight="1">
      <c r="A36" s="86"/>
      <c r="B36" s="86"/>
      <c r="D36" s="275">
        <f t="array" ref="D36">IFERROR(INDEX('計測入力シート（ここのみ編集可）'!$BN$17:$BN$116,MATCH(A35&amp;B35,'計測入力シート（ここのみ編集可）'!$BO$17:$BO$116,0)),"")</f>
        <v>4</v>
      </c>
      <c r="E36" s="276" t="str">
        <f t="array" ref="E36">IFERROR(INDEX('計測入力シート（ここのみ編集可）'!$BP$17:$BP$116,MATCH(A35&amp;B35,'計測入力シート（ここのみ編集可）'!$BO$17:$BO$116,0)),"")</f>
        <v>-</v>
      </c>
      <c r="F36" s="277" t="str">
        <f t="array" ref="F36">IFERROR(INDEX('計測入力シート（ここのみ編集可）'!$BR$17:$BR$116,MATCH(A35&amp;B35,'計測入力シート（ここのみ編集可）'!$BO$17:$BO$116,0)),"")</f>
        <v>-</v>
      </c>
      <c r="G36" s="278">
        <f t="array" ref="G36">IFERROR(INDEX('計測入力シート（ここのみ編集可）'!$BL$17:$BL$116,MATCH(A35&amp;B35,'計測入力シート（ここのみ編集可）'!$BO$17:$BO$116,0)),"")</f>
        <v>17</v>
      </c>
      <c r="H36" s="279"/>
    </row>
    <row r="37" ht="27.0" customHeight="1">
      <c r="D37" s="280" t="s">
        <v>2</v>
      </c>
      <c r="E37" s="281">
        <f t="array" ref="E37">IFERROR(INDEX('計測入力シート（ここのみ編集可）'!$C$17:$C$116,MATCH(A35&amp;B35,'計測入力シート（ここのみ編集可）'!$BO$17:$BO$116,0)),"")</f>
        <v>32</v>
      </c>
      <c r="F37" s="282" t="s">
        <v>17</v>
      </c>
      <c r="G37" s="283" t="str">
        <f t="array" ref="G37">IFERROR(INDEX('計測入力シート（ここのみ編集可）'!$D$17:$D$116,MATCH(A35&amp;B35,'計測入力シート（ここのみ編集可）'!$BO$17:$BO$116,0)),"")</f>
        <v>ひろ</v>
      </c>
      <c r="H37" s="284"/>
    </row>
    <row r="38" ht="27.0" customHeight="1">
      <c r="D38" s="285" t="s">
        <v>1</v>
      </c>
      <c r="E38" s="286" t="str">
        <f t="array" ref="E38">IFERROR(INDEX('計測入力シート（ここのみ編集可）'!$B$17:$B$116,MATCH(A35&amp;B35,'計測入力シート（ここのみ編集可）'!$BO$17:$BO$116,0)),"")</f>
        <v>C2</v>
      </c>
      <c r="F38" s="287" t="s">
        <v>18</v>
      </c>
      <c r="G38" s="288" t="str">
        <f t="array" ref="G38">IFERROR(INDEX('計測入力シート（ここのみ編集可）'!$E$17:$E$116,MATCH(A35&amp;B35,'計測入力シート（ここのみ編集可）'!$BO$17:$BO$116,0)),"")</f>
        <v>NSR250R</v>
      </c>
      <c r="H38" s="289"/>
    </row>
    <row r="39" ht="24.75" customHeight="1">
      <c r="D39" s="290" t="s">
        <v>92</v>
      </c>
      <c r="E39" s="291" t="str">
        <f t="array" ref="E39">IFERROR(INDEX(#REF!,MATCH(A35&amp;B35,'計測入力シート（ここのみ編集可）'!$BO$17:$BO$116,0)),"")</f>
        <v/>
      </c>
      <c r="H39" s="232"/>
    </row>
    <row r="40" ht="52.5" customHeight="1">
      <c r="D40" s="292" t="s">
        <v>100</v>
      </c>
      <c r="E40" s="293" t="str">
        <f t="array" ref="E40">IFERROR(INDEX(#REF!,MATCH(A35&amp;B35,'計測入力シート（ここのみ編集可）'!$BO$17:$BO$116,0)),"")</f>
        <v/>
      </c>
      <c r="F40" s="95"/>
      <c r="G40" s="95"/>
      <c r="H40" s="96"/>
    </row>
    <row r="41" ht="20.25" customHeight="1">
      <c r="D41" s="294" t="s">
        <v>39</v>
      </c>
      <c r="E41" s="295" t="str">
        <f t="array" ref="E41">IFERROR(INDEX('計測入力シート（ここのみ編集可）'!$AW$17:$AW$116,MATCH(A35&amp;B35,'計測入力シート（ここのみ編集可）'!$BO$17:$BO$116,0)),"")</f>
        <v>1:52:265</v>
      </c>
      <c r="F41" s="296"/>
      <c r="G41" s="297" t="s">
        <v>110</v>
      </c>
      <c r="H41" s="298" t="str">
        <f t="array" ref="H41">IFERROR(INDEX('計測入力シート（ここのみ編集可）'!$AY$17:$AY$116,MATCH(A35&amp;B35,'計測入力シート（ここのみ編集可）'!$BO$17:$BO$116,0)),"")</f>
        <v>-</v>
      </c>
    </row>
    <row r="42" ht="20.25" customHeight="1">
      <c r="D42" s="299" t="s">
        <v>42</v>
      </c>
      <c r="E42" s="300" t="str">
        <f t="array" ref="E42">IFERROR(INDEX('計測入力シート（ここのみ編集可）'!$AZ$17:$AZ$116,MATCH(A35&amp;B35,'計測入力シート（ここのみ編集可）'!$BO$17:$BO$116,0)),"")</f>
        <v>1:49:637</v>
      </c>
      <c r="F42" s="116"/>
      <c r="G42" s="301" t="s">
        <v>111</v>
      </c>
      <c r="H42" s="302" t="str">
        <f t="array" ref="H42">IFERROR(INDEX('計測入力シート（ここのみ編集可）'!$BB$17:$BB$116,MATCH(A35&amp;B35,'計測入力シート（ここのみ編集可）'!$BO$17:$BO$116,0)),"")</f>
        <v>-</v>
      </c>
    </row>
    <row r="43" ht="20.25" customHeight="1">
      <c r="D43" s="303" t="s">
        <v>112</v>
      </c>
      <c r="E43" s="304" t="str">
        <f t="array" ref="E43">IFERROR(INDEX('計測入力シート（ここのみ編集可）'!$BC$17:$BC$116,MATCH(A35&amp;B35,'計測入力シート（ここのみ編集可）'!$BO$17:$BO$116,0)),"")</f>
        <v>1:49:637</v>
      </c>
      <c r="F43" s="305"/>
      <c r="G43" s="306" t="s">
        <v>25</v>
      </c>
      <c r="H43" s="307">
        <f t="array" ref="H43">IFERROR(INDEX('計測入力シート（ここのみ編集可）'!$BD$17:$BD$116,MATCH(A35&amp;B35,'計測入力シート（ここのみ編集可）'!$BO$17:$BO$116,0)),"")</f>
        <v>1.123260865</v>
      </c>
    </row>
    <row r="44" ht="20.25" customHeight="1">
      <c r="D44" s="308"/>
    </row>
    <row r="45" ht="27.0" customHeight="1">
      <c r="A45" s="52" t="str">
        <f>A35</f>
        <v>C2</v>
      </c>
      <c r="B45" s="52">
        <f>B35+1</f>
        <v>5</v>
      </c>
      <c r="D45" s="271" t="s">
        <v>80</v>
      </c>
      <c r="E45" s="272" t="s">
        <v>81</v>
      </c>
      <c r="F45" s="272" t="s">
        <v>82</v>
      </c>
      <c r="G45" s="273" t="s">
        <v>49</v>
      </c>
      <c r="H45" s="274"/>
    </row>
    <row r="46" ht="27.0" customHeight="1">
      <c r="A46" s="86"/>
      <c r="B46" s="86"/>
      <c r="D46" s="275">
        <f t="array" ref="D46">IFERROR(INDEX('計測入力シート（ここのみ編集可）'!$BN$17:$BN$116,MATCH(A45&amp;B45,'計測入力シート（ここのみ編集可）'!$BO$17:$BO$116,0)),"")</f>
        <v>5</v>
      </c>
      <c r="E46" s="276">
        <f t="array" ref="E46">IFERROR(INDEX('計測入力シート（ここのみ編集可）'!$BP$17:$BP$116,MATCH(A45&amp;B45,'計測入力シート（ここのみ編集可）'!$BO$17:$BO$116,0)),"")</f>
        <v>2</v>
      </c>
      <c r="F46" s="277" t="str">
        <f t="array" ref="F46">IFERROR(INDEX('計測入力シート（ここのみ編集可）'!$BR$17:$BR$116,MATCH(A45&amp;B45,'計測入力シート（ここのみ編集可）'!$BO$17:$BO$116,0)),"")</f>
        <v>-</v>
      </c>
      <c r="G46" s="278">
        <f t="array" ref="G46">IFERROR(INDEX('計測入力シート（ここのみ編集可）'!$BL$17:$BL$116,MATCH(A45&amp;B45,'計測入力シート（ここのみ編集可）'!$BO$17:$BO$116,0)),"")</f>
        <v>18</v>
      </c>
      <c r="H46" s="279"/>
    </row>
    <row r="47" ht="27.0" customHeight="1">
      <c r="D47" s="280" t="s">
        <v>2</v>
      </c>
      <c r="E47" s="281">
        <f t="array" ref="E47">IFERROR(INDEX('計測入力シート（ここのみ編集可）'!$C$17:$C$116,MATCH(A45&amp;B45,'計測入力シート（ここのみ編集可）'!$BO$17:$BO$116,0)),"")</f>
        <v>35</v>
      </c>
      <c r="F47" s="282" t="s">
        <v>17</v>
      </c>
      <c r="G47" s="283" t="str">
        <f t="array" ref="G47">IFERROR(INDEX('計測入力シート（ここのみ編集可）'!$D$17:$D$116,MATCH(A45&amp;B45,'計測入力シート（ここのみ編集可）'!$BO$17:$BO$116,0)),"")</f>
        <v>モル</v>
      </c>
      <c r="H47" s="284"/>
    </row>
    <row r="48" ht="27.0" customHeight="1">
      <c r="D48" s="285" t="s">
        <v>1</v>
      </c>
      <c r="E48" s="286" t="str">
        <f t="array" ref="E48">IFERROR(INDEX('計測入力シート（ここのみ編集可）'!$B$17:$B$116,MATCH(A45&amp;B45,'計測入力シート（ここのみ編集可）'!$BO$17:$BO$116,0)),"")</f>
        <v>C2</v>
      </c>
      <c r="F48" s="287" t="s">
        <v>18</v>
      </c>
      <c r="G48" s="288" t="str">
        <f t="array" ref="G48">IFERROR(INDEX('計測入力シート（ここのみ編集可）'!$E$17:$E$116,MATCH(A45&amp;B45,'計測入力シート（ここのみ編集可）'!$BO$17:$BO$116,0)),"")</f>
        <v>YZF-R25</v>
      </c>
      <c r="H48" s="289"/>
    </row>
    <row r="49" ht="24.75" customHeight="1">
      <c r="D49" s="290" t="s">
        <v>92</v>
      </c>
      <c r="E49" s="291" t="str">
        <f t="array" ref="E49">IFERROR(INDEX(#REF!,MATCH(A45&amp;B45,'計測入力シート（ここのみ編集可）'!$BO$17:$BO$116,0)),"")</f>
        <v/>
      </c>
      <c r="H49" s="232"/>
    </row>
    <row r="50" ht="52.5" customHeight="1">
      <c r="D50" s="292" t="s">
        <v>100</v>
      </c>
      <c r="E50" s="293" t="str">
        <f t="array" ref="E50">IFERROR(INDEX(#REF!,MATCH(A45&amp;B45,'計測入力シート（ここのみ編集可）'!$BO$17:$BO$116,0)),"")</f>
        <v/>
      </c>
      <c r="F50" s="95"/>
      <c r="G50" s="95"/>
      <c r="H50" s="96"/>
    </row>
    <row r="51" ht="20.25" customHeight="1">
      <c r="D51" s="294" t="s">
        <v>39</v>
      </c>
      <c r="E51" s="295" t="str">
        <f t="array" ref="E51">IFERROR(INDEX('計測入力シート（ここのみ編集可）'!$AW$17:$AW$116,MATCH(A45&amp;B45,'計測入力シート（ここのみ編集可）'!$BO$17:$BO$116,0)),"")</f>
        <v>1:50:068</v>
      </c>
      <c r="F51" s="296"/>
      <c r="G51" s="297" t="s">
        <v>110</v>
      </c>
      <c r="H51" s="298">
        <f t="array" ref="H51">IFERROR(INDEX('計測入力シート（ここのみ編集可）'!$AY$17:$AY$116,MATCH(A45&amp;B45,'計測入力シート（ここのみ編集可）'!$BO$17:$BO$116,0)),"")</f>
        <v>2</v>
      </c>
    </row>
    <row r="52" ht="20.25" customHeight="1">
      <c r="D52" s="299" t="s">
        <v>42</v>
      </c>
      <c r="E52" s="300" t="str">
        <f t="array" ref="E52">IFERROR(INDEX('計測入力シート（ここのみ編集可）'!$AZ$17:$AZ$116,MATCH(A45&amp;B45,'計測入力シート（ここのみ編集可）'!$BO$17:$BO$116,0)),"")</f>
        <v>1:49:678</v>
      </c>
      <c r="F52" s="116"/>
      <c r="G52" s="301" t="s">
        <v>111</v>
      </c>
      <c r="H52" s="302" t="str">
        <f t="array" ref="H52">IFERROR(INDEX('計測入力シート（ここのみ編集可）'!$BB$17:$BB$116,MATCH(A45&amp;B45,'計測入力シート（ここのみ編集可）'!$BO$17:$BO$116,0)),"")</f>
        <v>-</v>
      </c>
    </row>
    <row r="53" ht="20.25" customHeight="1">
      <c r="D53" s="303" t="s">
        <v>112</v>
      </c>
      <c r="E53" s="304" t="str">
        <f t="array" ref="E53">IFERROR(INDEX('計測入力シート（ここのみ編集可）'!$BC$17:$BC$116,MATCH(A45&amp;B45,'計測入力シート（ここのみ編集可）'!$BO$17:$BO$116,0)),"")</f>
        <v>1:49:678</v>
      </c>
      <c r="F53" s="305"/>
      <c r="G53" s="306" t="s">
        <v>25</v>
      </c>
      <c r="H53" s="307">
        <f t="array" ref="H53">IFERROR(INDEX('計測入力シート（ここのみ編集可）'!$BD$17:$BD$116,MATCH(A45&amp;B45,'計測入力シート（ここのみ編集可）'!$BO$17:$BO$116,0)),"")</f>
        <v>1.123680921</v>
      </c>
    </row>
    <row r="54" ht="20.25" customHeight="1">
      <c r="D54" s="308"/>
    </row>
    <row r="55" ht="27.0" customHeight="1">
      <c r="A55" s="52" t="str">
        <f>A45</f>
        <v>C2</v>
      </c>
      <c r="B55" s="52">
        <f>B45+1</f>
        <v>6</v>
      </c>
      <c r="D55" s="271" t="s">
        <v>80</v>
      </c>
      <c r="E55" s="272" t="s">
        <v>81</v>
      </c>
      <c r="F55" s="272" t="s">
        <v>82</v>
      </c>
      <c r="G55" s="273" t="s">
        <v>49</v>
      </c>
      <c r="H55" s="274"/>
    </row>
    <row r="56" ht="27.0" customHeight="1">
      <c r="A56" s="86"/>
      <c r="B56" s="86"/>
      <c r="D56" s="275">
        <f t="array" ref="D56">IFERROR(INDEX('計測入力シート（ここのみ編集可）'!$BN$17:$BN$116,MATCH(A55&amp;B55,'計測入力シート（ここのみ編集可）'!$BO$17:$BO$116,0)),"")</f>
        <v>6</v>
      </c>
      <c r="E56" s="276" t="str">
        <f t="array" ref="E56">IFERROR(INDEX('計測入力シート（ここのみ編集可）'!$BP$17:$BP$116,MATCH(A55&amp;B55,'計測入力シート（ここのみ編集可）'!$BO$17:$BO$116,0)),"")</f>
        <v>-</v>
      </c>
      <c r="F56" s="277" t="str">
        <f t="array" ref="F56">IFERROR(INDEX('計測入力シート（ここのみ編集可）'!$BR$17:$BR$116,MATCH(A55&amp;B55,'計測入力シート（ここのみ編集可）'!$BO$17:$BO$116,0)),"")</f>
        <v>-</v>
      </c>
      <c r="G56" s="278">
        <f t="array" ref="G56">IFERROR(INDEX('計測入力シート（ここのみ編集可）'!$BL$17:$BL$116,MATCH(A55&amp;B55,'計測入力シート（ここのみ編集可）'!$BO$17:$BO$116,0)),"")</f>
        <v>23</v>
      </c>
      <c r="H56" s="279"/>
    </row>
    <row r="57" ht="27.0" customHeight="1">
      <c r="D57" s="280" t="s">
        <v>2</v>
      </c>
      <c r="E57" s="281">
        <f t="array" ref="E57">IFERROR(INDEX('計測入力シート（ここのみ編集可）'!$C$17:$C$116,MATCH(A55&amp;B55,'計測入力シート（ここのみ編集可）'!$BO$17:$BO$116,0)),"")</f>
        <v>30</v>
      </c>
      <c r="F57" s="282" t="s">
        <v>17</v>
      </c>
      <c r="G57" s="283" t="str">
        <f t="array" ref="G57">IFERROR(INDEX('計測入力シート（ここのみ編集可）'!$D$17:$D$116,MATCH(A55&amp;B55,'計測入力シート（ここのみ編集可）'!$BO$17:$BO$116,0)),"")</f>
        <v>まる</v>
      </c>
      <c r="H57" s="284"/>
    </row>
    <row r="58" ht="27.0" customHeight="1">
      <c r="D58" s="285" t="s">
        <v>1</v>
      </c>
      <c r="E58" s="286" t="str">
        <f t="array" ref="E58">IFERROR(INDEX('計測入力シート（ここのみ編集可）'!$B$17:$B$116,MATCH(A55&amp;B55,'計測入力シート（ここのみ編集可）'!$BO$17:$BO$116,0)),"")</f>
        <v>C2</v>
      </c>
      <c r="F58" s="287" t="s">
        <v>18</v>
      </c>
      <c r="G58" s="288" t="str">
        <f t="array" ref="G58">IFERROR(INDEX('計測入力シート（ここのみ編集可）'!$E$17:$E$116,MATCH(A55&amp;B55,'計測入力シート（ここのみ編集可）'!$BO$17:$BO$116,0)),"")</f>
        <v>VTR</v>
      </c>
      <c r="H58" s="289"/>
    </row>
    <row r="59" ht="24.75" customHeight="1">
      <c r="D59" s="290" t="s">
        <v>92</v>
      </c>
      <c r="E59" s="291" t="str">
        <f t="array" ref="E59">IFERROR(INDEX(#REF!,MATCH(A55&amp;B55,'計測入力シート（ここのみ編集可）'!$BO$17:$BO$116,0)),"")</f>
        <v/>
      </c>
      <c r="H59" s="232"/>
    </row>
    <row r="60" ht="52.5" customHeight="1">
      <c r="D60" s="292" t="s">
        <v>100</v>
      </c>
      <c r="E60" s="293" t="str">
        <f t="array" ref="E60">IFERROR(INDEX(#REF!,MATCH(A55&amp;B55,'計測入力シート（ここのみ編集可）'!$BO$17:$BO$116,0)),"")</f>
        <v/>
      </c>
      <c r="F60" s="95"/>
      <c r="G60" s="95"/>
      <c r="H60" s="96"/>
    </row>
    <row r="61" ht="20.25" customHeight="1">
      <c r="D61" s="294" t="s">
        <v>39</v>
      </c>
      <c r="E61" s="295" t="str">
        <f t="array" ref="E61">IFERROR(INDEX('計測入力シート（ここのみ編集可）'!$AW$17:$AW$116,MATCH(A55&amp;B55,'計測入力シート（ここのみ編集可）'!$BO$17:$BO$116,0)),"")</f>
        <v>1:58:134</v>
      </c>
      <c r="F61" s="296"/>
      <c r="G61" s="297" t="s">
        <v>110</v>
      </c>
      <c r="H61" s="298">
        <f t="array" ref="H61">IFERROR(INDEX('計測入力シート（ここのみ編集可）'!$AY$17:$AY$116,MATCH(A55&amp;B55,'計測入力シート（ここのみ編集可）'!$BO$17:$BO$116,0)),"")</f>
        <v>1</v>
      </c>
    </row>
    <row r="62" ht="20.25" customHeight="1">
      <c r="D62" s="299" t="s">
        <v>42</v>
      </c>
      <c r="E62" s="300" t="str">
        <f t="array" ref="E62">IFERROR(INDEX('計測入力シート（ここのみ編集可）'!$AZ$17:$AZ$116,MATCH(A55&amp;B55,'計測入力シート（ここのみ編集可）'!$BO$17:$BO$116,0)),"")</f>
        <v>1:51:148</v>
      </c>
      <c r="F62" s="116"/>
      <c r="G62" s="301" t="s">
        <v>111</v>
      </c>
      <c r="H62" s="302" t="str">
        <f t="array" ref="H62">IFERROR(INDEX('計測入力シート（ここのみ編集可）'!$BB$17:$BB$116,MATCH(A55&amp;B55,'計測入力シート（ここのみ編集可）'!$BO$17:$BO$116,0)),"")</f>
        <v>-</v>
      </c>
    </row>
    <row r="63" ht="20.25" customHeight="1">
      <c r="D63" s="303" t="s">
        <v>112</v>
      </c>
      <c r="E63" s="304" t="str">
        <f t="array" ref="E63">IFERROR(INDEX('計測入力シート（ここのみ編集可）'!$BC$17:$BC$116,MATCH(A55&amp;B55,'計測入力シート（ここのみ編集可）'!$BO$17:$BO$116,0)),"")</f>
        <v>1:51:148</v>
      </c>
      <c r="F63" s="305"/>
      <c r="G63" s="306" t="s">
        <v>25</v>
      </c>
      <c r="H63" s="307">
        <f t="array" ref="H63">IFERROR(INDEX('計測入力シート（ここのみ編集可）'!$BD$17:$BD$116,MATCH(A55&amp;B55,'計測入力シート（ここのみ編集可）'!$BO$17:$BO$116,0)),"")</f>
        <v>1.138741471</v>
      </c>
    </row>
    <row r="64" ht="20.25" customHeight="1">
      <c r="D64" s="308"/>
    </row>
    <row r="65" ht="27.0" customHeight="1">
      <c r="A65" s="52" t="str">
        <f>A55</f>
        <v>C2</v>
      </c>
      <c r="B65" s="52">
        <f>B55+1</f>
        <v>7</v>
      </c>
      <c r="D65" s="271" t="s">
        <v>80</v>
      </c>
      <c r="E65" s="272" t="s">
        <v>81</v>
      </c>
      <c r="F65" s="272" t="s">
        <v>82</v>
      </c>
      <c r="G65" s="273" t="s">
        <v>49</v>
      </c>
      <c r="H65" s="274"/>
    </row>
    <row r="66" ht="27.0" customHeight="1">
      <c r="A66" s="86"/>
      <c r="B66" s="86"/>
      <c r="D66" s="275">
        <f t="array" ref="D66">IFERROR(INDEX('計測入力シート（ここのみ編集可）'!$BN$17:$BN$116,MATCH(A65&amp;B65,'計測入力シート（ここのみ編集可）'!$BO$17:$BO$116,0)),"")</f>
        <v>7</v>
      </c>
      <c r="E66" s="276" t="str">
        <f t="array" ref="E66">IFERROR(INDEX('計測入力シート（ここのみ編集可）'!$BP$17:$BP$116,MATCH(A65&amp;B65,'計測入力シート（ここのみ編集可）'!$BO$17:$BO$116,0)),"")</f>
        <v>-</v>
      </c>
      <c r="F66" s="277" t="str">
        <f t="array" ref="F66">IFERROR(INDEX('計測入力シート（ここのみ編集可）'!$BR$17:$BR$116,MATCH(A65&amp;B65,'計測入力シート（ここのみ編集可）'!$BO$17:$BO$116,0)),"")</f>
        <v>-</v>
      </c>
      <c r="G66" s="278">
        <f t="array" ref="G66">IFERROR(INDEX('計測入力シート（ここのみ編集可）'!$BL$17:$BL$116,MATCH(A65&amp;B65,'計測入力シート（ここのみ編集可）'!$BO$17:$BO$116,0)),"")</f>
        <v>25</v>
      </c>
      <c r="H66" s="279"/>
    </row>
    <row r="67" ht="27.0" customHeight="1">
      <c r="D67" s="280" t="s">
        <v>2</v>
      </c>
      <c r="E67" s="281">
        <f t="array" ref="E67">IFERROR(INDEX('計測入力シート（ここのみ編集可）'!$C$17:$C$116,MATCH(A65&amp;B65,'計測入力シート（ここのみ編集可）'!$BO$17:$BO$116,0)),"")</f>
        <v>28</v>
      </c>
      <c r="F67" s="282" t="s">
        <v>17</v>
      </c>
      <c r="G67" s="283" t="str">
        <f t="array" ref="G67">IFERROR(INDEX('計測入力シート（ここのみ編集可）'!$D$17:$D$116,MATCH(A65&amp;B65,'計測入力シート（ここのみ編集可）'!$BO$17:$BO$116,0)),"")</f>
        <v>かおる</v>
      </c>
      <c r="H67" s="284"/>
    </row>
    <row r="68" ht="27.0" customHeight="1">
      <c r="D68" s="285" t="s">
        <v>1</v>
      </c>
      <c r="E68" s="286" t="str">
        <f t="array" ref="E68">IFERROR(INDEX('計測入力シート（ここのみ編集可）'!$B$17:$B$116,MATCH(A65&amp;B65,'計測入力シート（ここのみ編集可）'!$BO$17:$BO$116,0)),"")</f>
        <v>C2</v>
      </c>
      <c r="F68" s="287" t="s">
        <v>18</v>
      </c>
      <c r="G68" s="288" t="str">
        <f t="array" ref="G68">IFERROR(INDEX('計測入力シート（ここのみ編集可）'!$E$17:$E$116,MATCH(A65&amp;B65,'計測入力シート（ここのみ編集可）'!$BO$17:$BO$116,0)),"")</f>
        <v>VTR250</v>
      </c>
      <c r="H68" s="289"/>
    </row>
    <row r="69" ht="24.75" customHeight="1">
      <c r="D69" s="290" t="s">
        <v>92</v>
      </c>
      <c r="E69" s="291" t="str">
        <f t="array" ref="E69">IFERROR(INDEX(#REF!,MATCH(A65&amp;B65,'計測入力シート（ここのみ編集可）'!$BO$17:$BO$116,0)),"")</f>
        <v/>
      </c>
      <c r="H69" s="232"/>
    </row>
    <row r="70" ht="52.5" customHeight="1">
      <c r="D70" s="292" t="s">
        <v>100</v>
      </c>
      <c r="E70" s="293" t="str">
        <f t="array" ref="E70">IFERROR(INDEX(#REF!,MATCH(A65&amp;B65,'計測入力シート（ここのみ編集可）'!$BO$17:$BO$116,0)),"")</f>
        <v/>
      </c>
      <c r="F70" s="95"/>
      <c r="G70" s="95"/>
      <c r="H70" s="96"/>
    </row>
    <row r="71" ht="20.25" customHeight="1">
      <c r="D71" s="294" t="s">
        <v>39</v>
      </c>
      <c r="E71" s="295" t="str">
        <f t="array" ref="E71">IFERROR(INDEX('計測入力シート（ここのみ編集可）'!$AW$17:$AW$116,MATCH(A65&amp;B65,'計測入力シート（ここのみ編集可）'!$BO$17:$BO$116,0)),"")</f>
        <v>1:53:626</v>
      </c>
      <c r="F71" s="296"/>
      <c r="G71" s="297" t="s">
        <v>110</v>
      </c>
      <c r="H71" s="298">
        <f t="array" ref="H71">IFERROR(INDEX('計測入力シート（ここのみ編集可）'!$AY$17:$AY$116,MATCH(A65&amp;B65,'計測入力シート（ここのみ編集可）'!$BO$17:$BO$116,0)),"")</f>
        <v>1</v>
      </c>
    </row>
    <row r="72" ht="20.25" customHeight="1">
      <c r="D72" s="299" t="s">
        <v>42</v>
      </c>
      <c r="E72" s="300" t="str">
        <f t="array" ref="E72">IFERROR(INDEX('計測入力シート（ここのみ編集可）'!$AZ$17:$AZ$116,MATCH(A65&amp;B65,'計測入力シート（ここのみ編集可）'!$BO$17:$BO$116,0)),"")</f>
        <v>1:52:407</v>
      </c>
      <c r="F72" s="116"/>
      <c r="G72" s="301" t="s">
        <v>111</v>
      </c>
      <c r="H72" s="302" t="str">
        <f t="array" ref="H72">IFERROR(INDEX('計測入力シート（ここのみ編集可）'!$BB$17:$BB$116,MATCH(A65&amp;B65,'計測入力シート（ここのみ編集可）'!$BO$17:$BO$116,0)),"")</f>
        <v>-</v>
      </c>
    </row>
    <row r="73" ht="20.25" customHeight="1">
      <c r="D73" s="303" t="s">
        <v>112</v>
      </c>
      <c r="E73" s="304" t="str">
        <f t="array" ref="E73">IFERROR(INDEX('計測入力シート（ここのみ編集可）'!$BC$17:$BC$116,MATCH(A65&amp;B65,'計測入力シート（ここのみ編集可）'!$BO$17:$BO$116,0)),"")</f>
        <v>1:52:407</v>
      </c>
      <c r="F73" s="305"/>
      <c r="G73" s="306" t="s">
        <v>25</v>
      </c>
      <c r="H73" s="307">
        <f t="array" ref="H73">IFERROR(INDEX('計測入力シート（ここのみ編集可）'!$BD$17:$BD$116,MATCH(A65&amp;B65,'計測入力シート（ここのみ編集可）'!$BO$17:$BO$116,0)),"")</f>
        <v>1.151640268</v>
      </c>
    </row>
    <row r="74" ht="20.25" customHeight="1">
      <c r="D74" s="308"/>
    </row>
    <row r="75" ht="27.0" customHeight="1">
      <c r="A75" s="52" t="str">
        <f>A65</f>
        <v>C2</v>
      </c>
      <c r="B75" s="52">
        <f>B65+1</f>
        <v>8</v>
      </c>
      <c r="D75" s="271" t="s">
        <v>80</v>
      </c>
      <c r="E75" s="272" t="s">
        <v>81</v>
      </c>
      <c r="F75" s="272" t="s">
        <v>82</v>
      </c>
      <c r="G75" s="273" t="s">
        <v>49</v>
      </c>
      <c r="H75" s="274"/>
    </row>
    <row r="76" ht="27.0" customHeight="1">
      <c r="A76" s="86"/>
      <c r="B76" s="86"/>
      <c r="D76" s="275">
        <f t="array" ref="D76">IFERROR(INDEX('計測入力シート（ここのみ編集可）'!$BN$17:$BN$116,MATCH(A75&amp;B75,'計測入力シート（ここのみ編集可）'!$BO$17:$BO$116,0)),"")</f>
        <v>8</v>
      </c>
      <c r="E76" s="276" t="str">
        <f t="array" ref="E76">IFERROR(INDEX('計測入力シート（ここのみ編集可）'!$BP$17:$BP$116,MATCH(A75&amp;B75,'計測入力シート（ここのみ編集可）'!$BO$17:$BO$116,0)),"")</f>
        <v>-</v>
      </c>
      <c r="F76" s="277" t="str">
        <f t="array" ref="F76">IFERROR(INDEX('計測入力シート（ここのみ編集可）'!$BR$17:$BR$116,MATCH(A75&amp;B75,'計測入力シート（ここのみ編集可）'!$BO$17:$BO$116,0)),"")</f>
        <v>-</v>
      </c>
      <c r="G76" s="278">
        <f t="array" ref="G76">IFERROR(INDEX('計測入力シート（ここのみ編集可）'!$BL$17:$BL$116,MATCH(A75&amp;B75,'計測入力シート（ここのみ編集可）'!$BO$17:$BO$116,0)),"")</f>
        <v>29</v>
      </c>
      <c r="H76" s="279"/>
    </row>
    <row r="77" ht="27.0" customHeight="1">
      <c r="D77" s="280" t="s">
        <v>2</v>
      </c>
      <c r="E77" s="281">
        <f t="array" ref="E77">IFERROR(INDEX('計測入力シート（ここのみ編集可）'!$C$17:$C$116,MATCH(A75&amp;B75,'計測入力シート（ここのみ編集可）'!$BO$17:$BO$116,0)),"")</f>
        <v>29</v>
      </c>
      <c r="F77" s="282" t="s">
        <v>17</v>
      </c>
      <c r="G77" s="283" t="str">
        <f t="array" ref="G77">IFERROR(INDEX('計測入力シート（ここのみ編集可）'!$D$17:$D$116,MATCH(A75&amp;B75,'計測入力シート（ここのみ編集可）'!$BO$17:$BO$116,0)),"")</f>
        <v>どーやP</v>
      </c>
      <c r="H77" s="284"/>
    </row>
    <row r="78" ht="27.0" customHeight="1">
      <c r="D78" s="285" t="s">
        <v>1</v>
      </c>
      <c r="E78" s="286" t="str">
        <f t="array" ref="E78">IFERROR(INDEX('計測入力シート（ここのみ編集可）'!$B$17:$B$116,MATCH(A75&amp;B75,'計測入力シート（ここのみ編集可）'!$BO$17:$BO$116,0)),"")</f>
        <v>C2</v>
      </c>
      <c r="F78" s="287" t="s">
        <v>18</v>
      </c>
      <c r="G78" s="288" t="str">
        <f t="array" ref="G78">IFERROR(INDEX('計測入力シート（ここのみ編集可）'!$E$17:$E$116,MATCH(A75&amp;B75,'計測入力シート（ここのみ編集可）'!$BO$17:$BO$116,0)),"")</f>
        <v>Z400</v>
      </c>
      <c r="H78" s="289"/>
    </row>
    <row r="79" ht="24.75" customHeight="1">
      <c r="D79" s="290" t="s">
        <v>92</v>
      </c>
      <c r="E79" s="291" t="str">
        <f t="array" ref="E79">IFERROR(INDEX(#REF!,MATCH(A75&amp;B75,'計測入力シート（ここのみ編集可）'!$BO$17:$BO$116,0)),"")</f>
        <v/>
      </c>
      <c r="H79" s="232"/>
    </row>
    <row r="80" ht="52.5" customHeight="1">
      <c r="D80" s="292" t="s">
        <v>100</v>
      </c>
      <c r="E80" s="293" t="str">
        <f t="array" ref="E80">IFERROR(INDEX(#REF!,MATCH(A75&amp;B75,'計測入力シート（ここのみ編集可）'!$BO$17:$BO$116,0)),"")</f>
        <v/>
      </c>
      <c r="F80" s="95"/>
      <c r="G80" s="95"/>
      <c r="H80" s="96"/>
    </row>
    <row r="81" ht="20.25" customHeight="1">
      <c r="D81" s="294" t="s">
        <v>39</v>
      </c>
      <c r="E81" s="295" t="str">
        <f t="array" ref="E81">IFERROR(INDEX('計測入力シート（ここのみ編集可）'!$AW$17:$AW$116,MATCH(A75&amp;B75,'計測入力シート（ここのみ編集可）'!$BO$17:$BO$116,0)),"")</f>
        <v>2:02:742</v>
      </c>
      <c r="F81" s="296"/>
      <c r="G81" s="297" t="s">
        <v>110</v>
      </c>
      <c r="H81" s="298">
        <f t="array" ref="H81">IFERROR(INDEX('計測入力シート（ここのみ編集可）'!$AY$17:$AY$116,MATCH(A75&amp;B75,'計測入力シート（ここのみ編集可）'!$BO$17:$BO$116,0)),"")</f>
        <v>1</v>
      </c>
    </row>
    <row r="82" ht="20.25" customHeight="1">
      <c r="D82" s="299" t="s">
        <v>42</v>
      </c>
      <c r="E82" s="300" t="str">
        <f t="array" ref="E82">IFERROR(INDEX('計測入力シート（ここのみ編集可）'!$AZ$17:$AZ$116,MATCH(A75&amp;B75,'計測入力シート（ここのみ編集可）'!$BO$17:$BO$116,0)),"")</f>
        <v>1:52:470</v>
      </c>
      <c r="F82" s="116"/>
      <c r="G82" s="301" t="s">
        <v>111</v>
      </c>
      <c r="H82" s="302">
        <f t="array" ref="H82">IFERROR(INDEX('計測入力シート（ここのみ編集可）'!$BB$17:$BB$116,MATCH(A75&amp;B75,'計測入力シート（ここのみ編集可）'!$BO$17:$BO$116,0)),"")</f>
        <v>1</v>
      </c>
    </row>
    <row r="83" ht="20.25" customHeight="1">
      <c r="D83" s="303" t="s">
        <v>112</v>
      </c>
      <c r="E83" s="304" t="str">
        <f t="array" ref="E83">IFERROR(INDEX('計測入力シート（ここのみ編集可）'!$BC$17:$BC$116,MATCH(A75&amp;B75,'計測入力シート（ここのみ編集可）'!$BO$17:$BO$116,0)),"")</f>
        <v>1:53:470</v>
      </c>
      <c r="F83" s="305"/>
      <c r="G83" s="306" t="s">
        <v>25</v>
      </c>
      <c r="H83" s="307">
        <f t="array" ref="H83">IFERROR(INDEX('計測入力シート（ここのみ編集可）'!$BD$17:$BD$116,MATCH(A75&amp;B75,'計測入力シート（ここのみ編集可）'!$BO$17:$BO$116,0)),"")</f>
        <v>1.162530992</v>
      </c>
    </row>
    <row r="84" ht="20.25" customHeight="1">
      <c r="D84" s="308"/>
    </row>
    <row r="85" ht="27.0" customHeight="1">
      <c r="A85" s="52" t="str">
        <f>A75</f>
        <v>C2</v>
      </c>
      <c r="B85" s="52">
        <f>B75+1</f>
        <v>9</v>
      </c>
      <c r="D85" s="271" t="s">
        <v>80</v>
      </c>
      <c r="E85" s="272" t="s">
        <v>81</v>
      </c>
      <c r="F85" s="272" t="s">
        <v>82</v>
      </c>
      <c r="G85" s="273" t="s">
        <v>49</v>
      </c>
      <c r="H85" s="274"/>
    </row>
    <row r="86" ht="27.0" customHeight="1">
      <c r="A86" s="86"/>
      <c r="B86" s="86"/>
      <c r="D86" s="275">
        <f t="array" ref="D86">IFERROR(INDEX('計測入力シート（ここのみ編集可）'!$BN$17:$BN$116,MATCH(A85&amp;B85,'計測入力シート（ここのみ編集可）'!$BO$17:$BO$116,0)),"")</f>
        <v>9</v>
      </c>
      <c r="E86" s="276" t="str">
        <f t="array" ref="E86">IFERROR(INDEX('計測入力シート（ここのみ編集可）'!$BP$17:$BP$116,MATCH(A85&amp;B85,'計測入力シート（ここのみ編集可）'!$BO$17:$BO$116,0)),"")</f>
        <v>-</v>
      </c>
      <c r="F86" s="277" t="str">
        <f t="array" ref="F86">IFERROR(INDEX('計測入力シート（ここのみ編集可）'!$BR$17:$BR$116,MATCH(A85&amp;B85,'計測入力シート（ここのみ編集可）'!$BO$17:$BO$116,0)),"")</f>
        <v>-</v>
      </c>
      <c r="G86" s="278">
        <f t="array" ref="G86">IFERROR(INDEX('計測入力シート（ここのみ編集可）'!$BL$17:$BL$116,MATCH(A85&amp;B85,'計測入力シート（ここのみ編集可）'!$BO$17:$BO$116,0)),"")</f>
        <v>30</v>
      </c>
      <c r="H86" s="279"/>
    </row>
    <row r="87" ht="27.0" customHeight="1">
      <c r="D87" s="280" t="s">
        <v>2</v>
      </c>
      <c r="E87" s="281">
        <f t="array" ref="E87">IFERROR(INDEX('計測入力シート（ここのみ編集可）'!$C$17:$C$116,MATCH(A85&amp;B85,'計測入力シート（ここのみ編集可）'!$BO$17:$BO$116,0)),"")</f>
        <v>31</v>
      </c>
      <c r="F87" s="282" t="s">
        <v>17</v>
      </c>
      <c r="G87" s="283" t="str">
        <f t="array" ref="G87">IFERROR(INDEX('計測入力シート（ここのみ編集可）'!$D$17:$D$116,MATCH(A85&amp;B85,'計測入力シート（ここのみ編集可）'!$BO$17:$BO$116,0)),"")</f>
        <v>織田憲男</v>
      </c>
      <c r="H87" s="284"/>
    </row>
    <row r="88" ht="27.0" customHeight="1">
      <c r="D88" s="285" t="s">
        <v>1</v>
      </c>
      <c r="E88" s="286" t="str">
        <f t="array" ref="E88">IFERROR(INDEX('計測入力シート（ここのみ編集可）'!$B$17:$B$116,MATCH(A85&amp;B85,'計測入力シート（ここのみ編集可）'!$BO$17:$BO$116,0)),"")</f>
        <v>C2</v>
      </c>
      <c r="F88" s="287" t="s">
        <v>18</v>
      </c>
      <c r="G88" s="288" t="str">
        <f t="array" ref="G88">IFERROR(INDEX('計測入力シート（ここのみ編集可）'!$E$17:$E$116,MATCH(A85&amp;B85,'計測入力シート（ここのみ編集可）'!$BO$17:$BO$116,0)),"")</f>
        <v>MT-03</v>
      </c>
      <c r="H88" s="289"/>
    </row>
    <row r="89" ht="24.75" customHeight="1">
      <c r="D89" s="290" t="s">
        <v>92</v>
      </c>
      <c r="E89" s="291" t="str">
        <f t="array" ref="E89">IFERROR(INDEX(#REF!,MATCH(A85&amp;B85,'計測入力シート（ここのみ編集可）'!$BO$17:$BO$116,0)),"")</f>
        <v/>
      </c>
      <c r="H89" s="232"/>
    </row>
    <row r="90" ht="52.5" customHeight="1">
      <c r="D90" s="292" t="s">
        <v>100</v>
      </c>
      <c r="E90" s="293" t="str">
        <f t="array" ref="E90">IFERROR(INDEX(#REF!,MATCH(A85&amp;B85,'計測入力シート（ここのみ編集可）'!$BO$17:$BO$116,0)),"")</f>
        <v/>
      </c>
      <c r="F90" s="95"/>
      <c r="G90" s="95"/>
      <c r="H90" s="96"/>
    </row>
    <row r="91" ht="20.25" customHeight="1">
      <c r="D91" s="294" t="s">
        <v>39</v>
      </c>
      <c r="E91" s="295" t="str">
        <f t="array" ref="E91">IFERROR(INDEX('計測入力シート（ここのみ編集可）'!$AW$17:$AW$116,MATCH(A85&amp;B85,'計測入力シート（ここのみ編集可）'!$BO$17:$BO$116,0)),"")</f>
        <v>1:53:531</v>
      </c>
      <c r="F91" s="296"/>
      <c r="G91" s="297" t="s">
        <v>110</v>
      </c>
      <c r="H91" s="298">
        <f t="array" ref="H91">IFERROR(INDEX('計測入力シート（ここのみ編集可）'!$AY$17:$AY$116,MATCH(A85&amp;B85,'計測入力シート（ここのみ編集可）'!$BO$17:$BO$116,0)),"")</f>
        <v>1</v>
      </c>
    </row>
    <row r="92" ht="20.25" customHeight="1">
      <c r="D92" s="299" t="s">
        <v>42</v>
      </c>
      <c r="E92" s="300" t="str">
        <f t="array" ref="E92">IFERROR(INDEX('計測入力シート（ここのみ編集可）'!$AZ$17:$AZ$116,MATCH(A85&amp;B85,'計測入力シート（ここのみ編集可）'!$BO$17:$BO$116,0)),"")</f>
        <v>1:55:157</v>
      </c>
      <c r="F92" s="116"/>
      <c r="G92" s="301" t="s">
        <v>111</v>
      </c>
      <c r="H92" s="302" t="str">
        <f t="array" ref="H92">IFERROR(INDEX('計測入力シート（ここのみ編集可）'!$BB$17:$BB$116,MATCH(A85&amp;B85,'計測入力シート（ここのみ編集可）'!$BO$17:$BO$116,0)),"")</f>
        <v>-</v>
      </c>
    </row>
    <row r="93" ht="20.25" customHeight="1">
      <c r="D93" s="303" t="s">
        <v>112</v>
      </c>
      <c r="E93" s="304" t="str">
        <f t="array" ref="E93">IFERROR(INDEX('計測入力シート（ここのみ編集可）'!$BC$17:$BC$116,MATCH(A85&amp;B85,'計測入力シート（ここのみ編集可）'!$BO$17:$BO$116,0)),"")</f>
        <v>1:54:531</v>
      </c>
      <c r="F93" s="305"/>
      <c r="G93" s="306" t="s">
        <v>25</v>
      </c>
      <c r="H93" s="307">
        <f t="array" ref="H93">IFERROR(INDEX('計測入力シート（ここのみ編集可）'!$BD$17:$BD$116,MATCH(A85&amp;B85,'計測入力シート（ここのみ編集可）'!$BO$17:$BO$116,0)),"")</f>
        <v>1.173401225</v>
      </c>
    </row>
    <row r="94" ht="20.25" customHeight="1">
      <c r="D94" s="308"/>
    </row>
    <row r="95" ht="27.0" customHeight="1">
      <c r="A95" s="52" t="str">
        <f>A85</f>
        <v>C2</v>
      </c>
      <c r="B95" s="52">
        <f>B85+1</f>
        <v>10</v>
      </c>
      <c r="D95" s="271" t="s">
        <v>80</v>
      </c>
      <c r="E95" s="272" t="s">
        <v>81</v>
      </c>
      <c r="F95" s="272" t="s">
        <v>82</v>
      </c>
      <c r="G95" s="273" t="s">
        <v>49</v>
      </c>
      <c r="H95" s="274"/>
    </row>
    <row r="96" ht="27.0" customHeight="1">
      <c r="A96" s="86"/>
      <c r="B96" s="86"/>
      <c r="D96" s="275" t="str">
        <f t="array" ref="D96">IFERROR(INDEX('計測入力シート（ここのみ編集可）'!$BN$17:$BN$116,MATCH(A95&amp;B95,'計測入力シート（ここのみ編集可）'!$BO$17:$BO$116,0)),"")</f>
        <v>-</v>
      </c>
      <c r="E96" s="276" t="str">
        <f t="array" ref="E96">IFERROR(INDEX('計測入力シート（ここのみ編集可）'!$BP$17:$BP$116,MATCH(A95&amp;B95,'計測入力シート（ここのみ編集可）'!$BO$17:$BO$116,0)),"")</f>
        <v>-</v>
      </c>
      <c r="F96" s="277" t="str">
        <f t="array" ref="F96">IFERROR(INDEX('計測入力シート（ここのみ編集可）'!$BR$17:$BR$116,MATCH(A95&amp;B95,'計測入力シート（ここのみ編集可）'!$BO$17:$BO$116,0)),"")</f>
        <v>-</v>
      </c>
      <c r="G96" s="278" t="str">
        <f t="array" ref="G96">IFERROR(INDEX('計測入力シート（ここのみ編集可）'!$BL$17:$BL$116,MATCH(A95&amp;B95,'計測入力シート（ここのみ編集可）'!$BO$17:$BO$116,0)),"")</f>
        <v>-</v>
      </c>
      <c r="H96" s="279"/>
    </row>
    <row r="97" ht="27.0" customHeight="1">
      <c r="D97" s="280" t="s">
        <v>2</v>
      </c>
      <c r="E97" s="281">
        <f t="array" ref="E97">IFERROR(INDEX('計測入力シート（ここのみ編集可）'!$C$17:$C$116,MATCH(A95&amp;B95,'計測入力シート（ここのみ編集可）'!$BO$17:$BO$116,0)),"")</f>
        <v>34</v>
      </c>
      <c r="F97" s="282" t="s">
        <v>17</v>
      </c>
      <c r="G97" s="283" t="str">
        <f t="array" ref="G97">IFERROR(INDEX('計測入力シート（ここのみ編集可）'!$D$17:$D$116,MATCH(A95&amp;B95,'計測入力シート（ここのみ編集可）'!$BO$17:$BO$116,0)),"")</f>
        <v>もーと</v>
      </c>
      <c r="H97" s="284"/>
    </row>
    <row r="98" ht="27.0" customHeight="1">
      <c r="D98" s="285" t="s">
        <v>1</v>
      </c>
      <c r="E98" s="286" t="str">
        <f t="array" ref="E98">IFERROR(INDEX('計測入力シート（ここのみ編集可）'!$B$17:$B$116,MATCH(A95&amp;B95,'計測入力シート（ここのみ編集可）'!$BO$17:$BO$116,0)),"")</f>
        <v>C2</v>
      </c>
      <c r="F98" s="287" t="s">
        <v>18</v>
      </c>
      <c r="G98" s="288" t="str">
        <f t="array" ref="G98">IFERROR(INDEX('計測入力シート（ここのみ編集可）'!$E$17:$E$116,MATCH(A95&amp;B95,'計測入力シート（ここのみ編集可）'!$BO$17:$BO$116,0)),"")</f>
        <v>KX85</v>
      </c>
      <c r="H98" s="289"/>
    </row>
    <row r="99" ht="24.75" customHeight="1">
      <c r="D99" s="290" t="s">
        <v>92</v>
      </c>
      <c r="E99" s="291" t="str">
        <f t="array" ref="E99">IFERROR(INDEX(#REF!,MATCH(A95&amp;B95,'計測入力シート（ここのみ編集可）'!$BO$17:$BO$116,0)),"")</f>
        <v/>
      </c>
      <c r="H99" s="232"/>
    </row>
    <row r="100" ht="52.5" customHeight="1">
      <c r="D100" s="292" t="s">
        <v>100</v>
      </c>
      <c r="E100" s="293" t="str">
        <f t="array" ref="E100">IFERROR(INDEX(#REF!,MATCH(A95&amp;B95,'計測入力シート（ここのみ編集可）'!$BO$17:$BO$116,0)),"")</f>
        <v/>
      </c>
      <c r="F100" s="95"/>
      <c r="G100" s="95"/>
      <c r="H100" s="96"/>
    </row>
    <row r="101" ht="20.25" customHeight="1">
      <c r="D101" s="294" t="s">
        <v>39</v>
      </c>
      <c r="E101" s="295" t="str">
        <f t="array" ref="E101">IFERROR(INDEX('計測入力シート（ここのみ編集可）'!$AW$17:$AW$116,MATCH(A95&amp;B95,'計測入力シート（ここのみ編集可）'!$BO$17:$BO$116,0)),"")</f>
        <v>DNS</v>
      </c>
      <c r="F101" s="296"/>
      <c r="G101" s="297" t="s">
        <v>110</v>
      </c>
      <c r="H101" s="298" t="str">
        <f t="array" ref="H101">IFERROR(INDEX('計測入力シート（ここのみ編集可）'!$AY$17:$AY$116,MATCH(A95&amp;B95,'計測入力シート（ここのみ編集可）'!$BO$17:$BO$116,0)),"")</f>
        <v>-</v>
      </c>
    </row>
    <row r="102" ht="20.25" customHeight="1">
      <c r="D102" s="299" t="s">
        <v>42</v>
      </c>
      <c r="E102" s="300" t="str">
        <f t="array" ref="E102">IFERROR(INDEX('計測入力シート（ここのみ編集可）'!$AZ$17:$AZ$116,MATCH(A95&amp;B95,'計測入力シート（ここのみ編集可）'!$BO$17:$BO$116,0)),"")</f>
        <v>DNS</v>
      </c>
      <c r="F102" s="116"/>
      <c r="G102" s="301" t="s">
        <v>111</v>
      </c>
      <c r="H102" s="302" t="str">
        <f t="array" ref="H102">IFERROR(INDEX('計測入力シート（ここのみ編集可）'!$BB$17:$BB$116,MATCH(A95&amp;B95,'計測入力シート（ここのみ編集可）'!$BO$17:$BO$116,0)),"")</f>
        <v>-</v>
      </c>
    </row>
    <row r="103" ht="20.25" customHeight="1">
      <c r="D103" s="303" t="s">
        <v>112</v>
      </c>
      <c r="E103" s="304" t="str">
        <f t="array" ref="E103">IFERROR(INDEX('計測入力シート（ここのみ編集可）'!$BC$17:$BC$116,MATCH(A95&amp;B95,'計測入力シート（ここのみ編集可）'!$BO$17:$BO$116,0)),"")</f>
        <v>DNS</v>
      </c>
      <c r="F103" s="305"/>
      <c r="G103" s="306" t="s">
        <v>25</v>
      </c>
      <c r="H103" s="307" t="str">
        <f t="array" ref="H103">IFERROR(INDEX('計測入力シート（ここのみ編集可）'!$BD$17:$BD$116,MATCH(A95&amp;B95,'計測入力シート（ここのみ編集可）'!$BO$17:$BO$116,0)),"")</f>
        <v>-</v>
      </c>
    </row>
    <row r="104" ht="20.25" customHeight="1">
      <c r="D104" s="308"/>
    </row>
    <row r="105" ht="27.0" customHeight="1">
      <c r="A105" s="52" t="str">
        <f>A95</f>
        <v>C2</v>
      </c>
      <c r="B105" s="52">
        <f>B95+1</f>
        <v>11</v>
      </c>
      <c r="D105" s="271" t="s">
        <v>80</v>
      </c>
      <c r="E105" s="272" t="s">
        <v>81</v>
      </c>
      <c r="F105" s="272" t="s">
        <v>82</v>
      </c>
      <c r="G105" s="273" t="s">
        <v>49</v>
      </c>
      <c r="H105" s="274"/>
    </row>
    <row r="106" ht="27.0" customHeight="1">
      <c r="A106" s="86"/>
      <c r="B106" s="86"/>
      <c r="D106" s="275" t="str">
        <f t="array" ref="D106">IFERROR(INDEX('計測入力シート（ここのみ編集可）'!$BN$17:$BN$116,MATCH(A105&amp;B105,'計測入力シート（ここのみ編集可）'!$BO$17:$BO$116,0)),"")</f>
        <v/>
      </c>
      <c r="E106" s="276" t="str">
        <f t="array" ref="E106">IFERROR(INDEX('計測入力シート（ここのみ編集可）'!$BP$17:$BP$116,MATCH(A105&amp;B105,'計測入力シート（ここのみ編集可）'!$BO$17:$BO$116,0)),"")</f>
        <v/>
      </c>
      <c r="F106" s="277" t="str">
        <f t="array" ref="F106">IFERROR(INDEX('計測入力シート（ここのみ編集可）'!$BR$17:$BR$116,MATCH(A105&amp;B105,'計測入力シート（ここのみ編集可）'!$BO$17:$BO$116,0)),"")</f>
        <v/>
      </c>
      <c r="G106" s="278" t="str">
        <f t="array" ref="G106">IFERROR(INDEX('計測入力シート（ここのみ編集可）'!$BL$17:$BL$116,MATCH(A105&amp;B105,'計測入力シート（ここのみ編集可）'!$BO$17:$BO$116,0)),"")</f>
        <v/>
      </c>
      <c r="H106" s="279"/>
    </row>
    <row r="107" ht="27.0" customHeight="1">
      <c r="D107" s="280" t="s">
        <v>2</v>
      </c>
      <c r="E107" s="281" t="str">
        <f t="array" ref="E107">IFERROR(INDEX('計測入力シート（ここのみ編集可）'!$C$17:$C$116,MATCH(A105&amp;B105,'計測入力シート（ここのみ編集可）'!$BO$17:$BO$116,0)),"")</f>
        <v/>
      </c>
      <c r="F107" s="282" t="s">
        <v>17</v>
      </c>
      <c r="G107" s="283" t="str">
        <f t="array" ref="G107">IFERROR(INDEX('計測入力シート（ここのみ編集可）'!$D$17:$D$116,MATCH(A105&amp;B105,'計測入力シート（ここのみ編集可）'!$BO$17:$BO$116,0)),"")</f>
        <v/>
      </c>
      <c r="H107" s="284"/>
    </row>
    <row r="108" ht="27.0" customHeight="1">
      <c r="D108" s="285" t="s">
        <v>1</v>
      </c>
      <c r="E108" s="286" t="str">
        <f t="array" ref="E108">IFERROR(INDEX('計測入力シート（ここのみ編集可）'!$B$17:$B$116,MATCH(A105&amp;B105,'計測入力シート（ここのみ編集可）'!$BO$17:$BO$116,0)),"")</f>
        <v/>
      </c>
      <c r="F108" s="287" t="s">
        <v>18</v>
      </c>
      <c r="G108" s="288" t="str">
        <f t="array" ref="G108">IFERROR(INDEX('計測入力シート（ここのみ編集可）'!$E$17:$E$116,MATCH(A105&amp;B105,'計測入力シート（ここのみ編集可）'!$BO$17:$BO$116,0)),"")</f>
        <v/>
      </c>
      <c r="H108" s="289"/>
    </row>
    <row r="109" ht="24.75" customHeight="1">
      <c r="D109" s="290" t="s">
        <v>92</v>
      </c>
      <c r="E109" s="291" t="str">
        <f t="array" ref="E109">IFERROR(INDEX(#REF!,MATCH(A105&amp;B105,'計測入力シート（ここのみ編集可）'!$BO$17:$BO$116,0)),"")</f>
        <v/>
      </c>
      <c r="H109" s="232"/>
    </row>
    <row r="110" ht="52.5" customHeight="1">
      <c r="D110" s="292" t="s">
        <v>100</v>
      </c>
      <c r="E110" s="293" t="str">
        <f t="array" ref="E110">IFERROR(INDEX(#REF!,MATCH(A105&amp;B105,'計測入力シート（ここのみ編集可）'!$BO$17:$BO$116,0)),"")</f>
        <v/>
      </c>
      <c r="F110" s="95"/>
      <c r="G110" s="95"/>
      <c r="H110" s="96"/>
    </row>
    <row r="111" ht="20.25" customHeight="1">
      <c r="D111" s="294" t="s">
        <v>39</v>
      </c>
      <c r="E111" s="295" t="str">
        <f t="array" ref="E111">IFERROR(INDEX('計測入力シート（ここのみ編集可）'!$AW$17:$AW$116,MATCH(A105&amp;B105,'計測入力シート（ここのみ編集可）'!$BO$17:$BO$116,0)),"")</f>
        <v/>
      </c>
      <c r="F111" s="296"/>
      <c r="G111" s="297" t="s">
        <v>110</v>
      </c>
      <c r="H111" s="298" t="str">
        <f t="array" ref="H111">IFERROR(INDEX('計測入力シート（ここのみ編集可）'!$AY$17:$AY$116,MATCH(A105&amp;B105,'計測入力シート（ここのみ編集可）'!$BO$17:$BO$116,0)),"")</f>
        <v/>
      </c>
    </row>
    <row r="112" ht="20.25" customHeight="1">
      <c r="D112" s="299" t="s">
        <v>42</v>
      </c>
      <c r="E112" s="300" t="str">
        <f t="array" ref="E112">IFERROR(INDEX('計測入力シート（ここのみ編集可）'!$AZ$17:$AZ$116,MATCH(A105&amp;B105,'計測入力シート（ここのみ編集可）'!$BO$17:$BO$116,0)),"")</f>
        <v/>
      </c>
      <c r="F112" s="116"/>
      <c r="G112" s="301" t="s">
        <v>111</v>
      </c>
      <c r="H112" s="302" t="str">
        <f t="array" ref="H112">IFERROR(INDEX('計測入力シート（ここのみ編集可）'!$BB$17:$BB$116,MATCH(A105&amp;B105,'計測入力シート（ここのみ編集可）'!$BO$17:$BO$116,0)),"")</f>
        <v/>
      </c>
    </row>
    <row r="113" ht="20.25" customHeight="1">
      <c r="D113" s="303" t="s">
        <v>112</v>
      </c>
      <c r="E113" s="304" t="str">
        <f t="array" ref="E113">IFERROR(INDEX('計測入力シート（ここのみ編集可）'!$BC$17:$BC$116,MATCH(A105&amp;B105,'計測入力シート（ここのみ編集可）'!$BO$17:$BO$116,0)),"")</f>
        <v/>
      </c>
      <c r="F113" s="305"/>
      <c r="G113" s="306" t="s">
        <v>25</v>
      </c>
      <c r="H113" s="307" t="str">
        <f t="array" ref="H113">IFERROR(INDEX('計測入力シート（ここのみ編集可）'!$BD$17:$BD$116,MATCH(A105&amp;B105,'計測入力シート（ここのみ編集可）'!$BO$17:$BO$116,0)),"")</f>
        <v/>
      </c>
    </row>
    <row r="114" ht="20.25" customHeight="1">
      <c r="D114" s="308"/>
    </row>
    <row r="115" ht="27.0" customHeight="1">
      <c r="A115" s="52" t="str">
        <f>A105</f>
        <v>C2</v>
      </c>
      <c r="B115" s="52">
        <f>B105+1</f>
        <v>12</v>
      </c>
      <c r="D115" s="271" t="s">
        <v>80</v>
      </c>
      <c r="E115" s="272" t="s">
        <v>81</v>
      </c>
      <c r="F115" s="272" t="s">
        <v>82</v>
      </c>
      <c r="G115" s="273" t="s">
        <v>49</v>
      </c>
      <c r="H115" s="274"/>
    </row>
    <row r="116" ht="27.0" customHeight="1">
      <c r="A116" s="86"/>
      <c r="B116" s="86"/>
      <c r="D116" s="275" t="str">
        <f t="array" ref="D116">IFERROR(INDEX('計測入力シート（ここのみ編集可）'!$BN$17:$BN$116,MATCH(A115&amp;B115,'計測入力シート（ここのみ編集可）'!$BO$17:$BO$116,0)),"")</f>
        <v/>
      </c>
      <c r="E116" s="276" t="str">
        <f t="array" ref="E116">IFERROR(INDEX('計測入力シート（ここのみ編集可）'!$BP$17:$BP$116,MATCH(A115&amp;B115,'計測入力シート（ここのみ編集可）'!$BO$17:$BO$116,0)),"")</f>
        <v/>
      </c>
      <c r="F116" s="277" t="str">
        <f t="array" ref="F116">IFERROR(INDEX('計測入力シート（ここのみ編集可）'!$BR$17:$BR$116,MATCH(A115&amp;B115,'計測入力シート（ここのみ編集可）'!$BO$17:$BO$116,0)),"")</f>
        <v/>
      </c>
      <c r="G116" s="278" t="str">
        <f t="array" ref="G116">IFERROR(INDEX('計測入力シート（ここのみ編集可）'!$BL$17:$BL$116,MATCH(A115&amp;B115,'計測入力シート（ここのみ編集可）'!$BO$17:$BO$116,0)),"")</f>
        <v/>
      </c>
      <c r="H116" s="279"/>
    </row>
    <row r="117" ht="27.0" customHeight="1">
      <c r="D117" s="280" t="s">
        <v>2</v>
      </c>
      <c r="E117" s="281" t="str">
        <f t="array" ref="E117">IFERROR(INDEX('計測入力シート（ここのみ編集可）'!$C$17:$C$116,MATCH(A115&amp;B115,'計測入力シート（ここのみ編集可）'!$BO$17:$BO$116,0)),"")</f>
        <v/>
      </c>
      <c r="F117" s="282" t="s">
        <v>17</v>
      </c>
      <c r="G117" s="283" t="str">
        <f t="array" ref="G117">IFERROR(INDEX('計測入力シート（ここのみ編集可）'!$D$17:$D$116,MATCH(A115&amp;B115,'計測入力シート（ここのみ編集可）'!$BO$17:$BO$116,0)),"")</f>
        <v/>
      </c>
      <c r="H117" s="284"/>
    </row>
    <row r="118" ht="27.0" customHeight="1">
      <c r="D118" s="285" t="s">
        <v>1</v>
      </c>
      <c r="E118" s="286" t="str">
        <f t="array" ref="E118">IFERROR(INDEX('計測入力シート（ここのみ編集可）'!$B$17:$B$116,MATCH(A115&amp;B115,'計測入力シート（ここのみ編集可）'!$BO$17:$BO$116,0)),"")</f>
        <v/>
      </c>
      <c r="F118" s="287" t="s">
        <v>18</v>
      </c>
      <c r="G118" s="288" t="str">
        <f t="array" ref="G118">IFERROR(INDEX('計測入力シート（ここのみ編集可）'!$E$17:$E$116,MATCH(A115&amp;B115,'計測入力シート（ここのみ編集可）'!$BO$17:$BO$116,0)),"")</f>
        <v/>
      </c>
      <c r="H118" s="289"/>
    </row>
    <row r="119" ht="24.75" customHeight="1">
      <c r="D119" s="290" t="s">
        <v>92</v>
      </c>
      <c r="E119" s="291" t="str">
        <f t="array" ref="E119">IFERROR(INDEX(#REF!,MATCH(A115&amp;B115,'計測入力シート（ここのみ編集可）'!$BO$17:$BO$116,0)),"")</f>
        <v/>
      </c>
      <c r="H119" s="232"/>
    </row>
    <row r="120" ht="52.5" customHeight="1">
      <c r="D120" s="292" t="s">
        <v>100</v>
      </c>
      <c r="E120" s="293" t="str">
        <f t="array" ref="E120">IFERROR(INDEX(#REF!,MATCH(A115&amp;B115,'計測入力シート（ここのみ編集可）'!$BO$17:$BO$116,0)),"")</f>
        <v/>
      </c>
      <c r="F120" s="95"/>
      <c r="G120" s="95"/>
      <c r="H120" s="96"/>
    </row>
    <row r="121" ht="20.25" customHeight="1">
      <c r="D121" s="294" t="s">
        <v>39</v>
      </c>
      <c r="E121" s="295" t="str">
        <f t="array" ref="E121">IFERROR(INDEX('計測入力シート（ここのみ編集可）'!$AW$17:$AW$116,MATCH(A115&amp;B115,'計測入力シート（ここのみ編集可）'!$BO$17:$BO$116,0)),"")</f>
        <v/>
      </c>
      <c r="F121" s="296"/>
      <c r="G121" s="297" t="s">
        <v>110</v>
      </c>
      <c r="H121" s="298" t="str">
        <f t="array" ref="H121">IFERROR(INDEX('計測入力シート（ここのみ編集可）'!$AY$17:$AY$116,MATCH(A115&amp;B115,'計測入力シート（ここのみ編集可）'!$BO$17:$BO$116,0)),"")</f>
        <v/>
      </c>
    </row>
    <row r="122" ht="20.25" customHeight="1">
      <c r="D122" s="299" t="s">
        <v>42</v>
      </c>
      <c r="E122" s="300" t="str">
        <f t="array" ref="E122">IFERROR(INDEX('計測入力シート（ここのみ編集可）'!$AZ$17:$AZ$116,MATCH(A115&amp;B115,'計測入力シート（ここのみ編集可）'!$BO$17:$BO$116,0)),"")</f>
        <v/>
      </c>
      <c r="F122" s="116"/>
      <c r="G122" s="301" t="s">
        <v>111</v>
      </c>
      <c r="H122" s="302" t="str">
        <f t="array" ref="H122">IFERROR(INDEX('計測入力シート（ここのみ編集可）'!$BB$17:$BB$116,MATCH(A115&amp;B115,'計測入力シート（ここのみ編集可）'!$BO$17:$BO$116,0)),"")</f>
        <v/>
      </c>
    </row>
    <row r="123" ht="20.25" customHeight="1">
      <c r="D123" s="303" t="s">
        <v>112</v>
      </c>
      <c r="E123" s="304" t="str">
        <f t="array" ref="E123">IFERROR(INDEX('計測入力シート（ここのみ編集可）'!$BC$17:$BC$116,MATCH(A115&amp;B115,'計測入力シート（ここのみ編集可）'!$BO$17:$BO$116,0)),"")</f>
        <v/>
      </c>
      <c r="F123" s="305"/>
      <c r="G123" s="306" t="s">
        <v>25</v>
      </c>
      <c r="H123" s="307" t="str">
        <f t="array" ref="H123">IFERROR(INDEX('計測入力シート（ここのみ編集可）'!$BD$17:$BD$116,MATCH(A115&amp;B115,'計測入力シート（ここのみ編集可）'!$BO$17:$BO$116,0)),"")</f>
        <v/>
      </c>
    </row>
    <row r="124" ht="20.25" customHeight="1">
      <c r="D124" s="308"/>
    </row>
    <row r="125" ht="27.0" customHeight="1">
      <c r="A125" s="52" t="str">
        <f>A115</f>
        <v>C2</v>
      </c>
      <c r="B125" s="52">
        <f>B115+1</f>
        <v>13</v>
      </c>
      <c r="D125" s="271" t="s">
        <v>80</v>
      </c>
      <c r="E125" s="272" t="s">
        <v>81</v>
      </c>
      <c r="F125" s="272" t="s">
        <v>82</v>
      </c>
      <c r="G125" s="273" t="s">
        <v>49</v>
      </c>
      <c r="H125" s="274"/>
    </row>
    <row r="126" ht="27.0" customHeight="1">
      <c r="A126" s="86"/>
      <c r="B126" s="86"/>
      <c r="D126" s="275" t="str">
        <f t="array" ref="D126">IFERROR(INDEX('計測入力シート（ここのみ編集可）'!$BN$17:$BN$116,MATCH(A125&amp;B125,'計測入力シート（ここのみ編集可）'!$BO$17:$BO$116,0)),"")</f>
        <v/>
      </c>
      <c r="E126" s="276" t="str">
        <f t="array" ref="E126">IFERROR(INDEX('計測入力シート（ここのみ編集可）'!$BP$17:$BP$116,MATCH(A125&amp;B125,'計測入力シート（ここのみ編集可）'!$BO$17:$BO$116,0)),"")</f>
        <v/>
      </c>
      <c r="F126" s="277" t="str">
        <f t="array" ref="F126">IFERROR(INDEX('計測入力シート（ここのみ編集可）'!$BR$17:$BR$116,MATCH(A125&amp;B125,'計測入力シート（ここのみ編集可）'!$BO$17:$BO$116,0)),"")</f>
        <v/>
      </c>
      <c r="G126" s="278" t="str">
        <f t="array" ref="G126">IFERROR(INDEX('計測入力シート（ここのみ編集可）'!$BL$17:$BL$116,MATCH(A125&amp;B125,'計測入力シート（ここのみ編集可）'!$BO$17:$BO$116,0)),"")</f>
        <v/>
      </c>
      <c r="H126" s="279"/>
    </row>
    <row r="127" ht="27.0" customHeight="1">
      <c r="D127" s="280" t="s">
        <v>2</v>
      </c>
      <c r="E127" s="281" t="str">
        <f t="array" ref="E127">IFERROR(INDEX('計測入力シート（ここのみ編集可）'!$C$17:$C$116,MATCH(A125&amp;B125,'計測入力シート（ここのみ編集可）'!$BO$17:$BO$116,0)),"")</f>
        <v/>
      </c>
      <c r="F127" s="282" t="s">
        <v>17</v>
      </c>
      <c r="G127" s="283" t="str">
        <f t="array" ref="G127">IFERROR(INDEX('計測入力シート（ここのみ編集可）'!$D$17:$D$116,MATCH(A125&amp;B125,'計測入力シート（ここのみ編集可）'!$BO$17:$BO$116,0)),"")</f>
        <v/>
      </c>
      <c r="H127" s="284"/>
    </row>
    <row r="128" ht="27.0" customHeight="1">
      <c r="D128" s="285" t="s">
        <v>1</v>
      </c>
      <c r="E128" s="286" t="str">
        <f t="array" ref="E128">IFERROR(INDEX('計測入力シート（ここのみ編集可）'!$B$17:$B$116,MATCH(A125&amp;B125,'計測入力シート（ここのみ編集可）'!$BO$17:$BO$116,0)),"")</f>
        <v/>
      </c>
      <c r="F128" s="287" t="s">
        <v>18</v>
      </c>
      <c r="G128" s="288" t="str">
        <f t="array" ref="G128">IFERROR(INDEX('計測入力シート（ここのみ編集可）'!$E$17:$E$116,MATCH(A125&amp;B125,'計測入力シート（ここのみ編集可）'!$BO$17:$BO$116,0)),"")</f>
        <v/>
      </c>
      <c r="H128" s="289"/>
    </row>
    <row r="129" ht="24.75" customHeight="1">
      <c r="D129" s="290" t="s">
        <v>92</v>
      </c>
      <c r="E129" s="291" t="str">
        <f t="array" ref="E129">IFERROR(INDEX(#REF!,MATCH(A125&amp;B125,'計測入力シート（ここのみ編集可）'!$BO$17:$BO$116,0)),"")</f>
        <v/>
      </c>
      <c r="H129" s="232"/>
    </row>
    <row r="130" ht="52.5" customHeight="1">
      <c r="D130" s="292" t="s">
        <v>100</v>
      </c>
      <c r="E130" s="293" t="str">
        <f t="array" ref="E130">IFERROR(INDEX(#REF!,MATCH(A125&amp;B125,'計測入力シート（ここのみ編集可）'!$BO$17:$BO$116,0)),"")</f>
        <v/>
      </c>
      <c r="F130" s="95"/>
      <c r="G130" s="95"/>
      <c r="H130" s="96"/>
    </row>
    <row r="131" ht="20.25" customHeight="1">
      <c r="D131" s="294" t="s">
        <v>39</v>
      </c>
      <c r="E131" s="295" t="str">
        <f t="array" ref="E131">IFERROR(INDEX('計測入力シート（ここのみ編集可）'!$AW$17:$AW$116,MATCH(A125&amp;B125,'計測入力シート（ここのみ編集可）'!$BO$17:$BO$116,0)),"")</f>
        <v/>
      </c>
      <c r="F131" s="296"/>
      <c r="G131" s="297" t="s">
        <v>110</v>
      </c>
      <c r="H131" s="298" t="str">
        <f t="array" ref="H131">IFERROR(INDEX('計測入力シート（ここのみ編集可）'!$AY$17:$AY$116,MATCH(A125&amp;B125,'計測入力シート（ここのみ編集可）'!$BO$17:$BO$116,0)),"")</f>
        <v/>
      </c>
    </row>
    <row r="132" ht="20.25" customHeight="1">
      <c r="D132" s="299" t="s">
        <v>42</v>
      </c>
      <c r="E132" s="300" t="str">
        <f t="array" ref="E132">IFERROR(INDEX('計測入力シート（ここのみ編集可）'!$AZ$17:$AZ$116,MATCH(A125&amp;B125,'計測入力シート（ここのみ編集可）'!$BO$17:$BO$116,0)),"")</f>
        <v/>
      </c>
      <c r="F132" s="116"/>
      <c r="G132" s="301" t="s">
        <v>111</v>
      </c>
      <c r="H132" s="302" t="str">
        <f t="array" ref="H132">IFERROR(INDEX('計測入力シート（ここのみ編集可）'!$BB$17:$BB$116,MATCH(A125&amp;B125,'計測入力シート（ここのみ編集可）'!$BO$17:$BO$116,0)),"")</f>
        <v/>
      </c>
    </row>
    <row r="133" ht="20.25" customHeight="1">
      <c r="D133" s="303" t="s">
        <v>112</v>
      </c>
      <c r="E133" s="304" t="str">
        <f t="array" ref="E133">IFERROR(INDEX('計測入力シート（ここのみ編集可）'!$BC$17:$BC$116,MATCH(A125&amp;B125,'計測入力シート（ここのみ編集可）'!$BO$17:$BO$116,0)),"")</f>
        <v/>
      </c>
      <c r="F133" s="305"/>
      <c r="G133" s="306" t="s">
        <v>25</v>
      </c>
      <c r="H133" s="307" t="str">
        <f t="array" ref="H133">IFERROR(INDEX('計測入力シート（ここのみ編集可）'!$BD$17:$BD$116,MATCH(A125&amp;B125,'計測入力シート（ここのみ編集可）'!$BO$17:$BO$116,0)),"")</f>
        <v/>
      </c>
    </row>
    <row r="134" ht="20.25" customHeight="1">
      <c r="D134" s="308"/>
    </row>
    <row r="135" ht="27.0" customHeight="1">
      <c r="A135" s="52" t="str">
        <f>A125</f>
        <v>C2</v>
      </c>
      <c r="B135" s="52">
        <f>B125+1</f>
        <v>14</v>
      </c>
      <c r="D135" s="271" t="s">
        <v>80</v>
      </c>
      <c r="E135" s="272" t="s">
        <v>81</v>
      </c>
      <c r="F135" s="272" t="s">
        <v>82</v>
      </c>
      <c r="G135" s="273" t="s">
        <v>49</v>
      </c>
      <c r="H135" s="274"/>
    </row>
    <row r="136" ht="27.0" customHeight="1">
      <c r="A136" s="86"/>
      <c r="B136" s="86"/>
      <c r="D136" s="275" t="str">
        <f t="array" ref="D136">IFERROR(INDEX('計測入力シート（ここのみ編集可）'!$BN$17:$BN$116,MATCH(A135&amp;B135,'計測入力シート（ここのみ編集可）'!$BO$17:$BO$116,0)),"")</f>
        <v/>
      </c>
      <c r="E136" s="276" t="str">
        <f t="array" ref="E136">IFERROR(INDEX('計測入力シート（ここのみ編集可）'!$BP$17:$BP$116,MATCH(A135&amp;B135,'計測入力シート（ここのみ編集可）'!$BO$17:$BO$116,0)),"")</f>
        <v/>
      </c>
      <c r="F136" s="277" t="str">
        <f t="array" ref="F136">IFERROR(INDEX('計測入力シート（ここのみ編集可）'!$BR$17:$BR$116,MATCH(A135&amp;B135,'計測入力シート（ここのみ編集可）'!$BO$17:$BO$116,0)),"")</f>
        <v/>
      </c>
      <c r="G136" s="278" t="str">
        <f t="array" ref="G136">IFERROR(INDEX('計測入力シート（ここのみ編集可）'!$BL$17:$BL$116,MATCH(A135&amp;B135,'計測入力シート（ここのみ編集可）'!$BO$17:$BO$116,0)),"")</f>
        <v/>
      </c>
      <c r="H136" s="279"/>
    </row>
    <row r="137" ht="27.0" customHeight="1">
      <c r="D137" s="280" t="s">
        <v>2</v>
      </c>
      <c r="E137" s="281" t="str">
        <f t="array" ref="E137">IFERROR(INDEX('計測入力シート（ここのみ編集可）'!$C$17:$C$116,MATCH(A135&amp;B135,'計測入力シート（ここのみ編集可）'!$BO$17:$BO$116,0)),"")</f>
        <v/>
      </c>
      <c r="F137" s="282" t="s">
        <v>17</v>
      </c>
      <c r="G137" s="283" t="str">
        <f t="array" ref="G137">IFERROR(INDEX('計測入力シート（ここのみ編集可）'!$D$17:$D$116,MATCH(A135&amp;B135,'計測入力シート（ここのみ編集可）'!$BO$17:$BO$116,0)),"")</f>
        <v/>
      </c>
      <c r="H137" s="284"/>
    </row>
    <row r="138" ht="27.0" customHeight="1">
      <c r="D138" s="285" t="s">
        <v>1</v>
      </c>
      <c r="E138" s="286" t="str">
        <f t="array" ref="E138">IFERROR(INDEX('計測入力シート（ここのみ編集可）'!$B$17:$B$116,MATCH(A135&amp;B135,'計測入力シート（ここのみ編集可）'!$BO$17:$BO$116,0)),"")</f>
        <v/>
      </c>
      <c r="F138" s="287" t="s">
        <v>18</v>
      </c>
      <c r="G138" s="288" t="str">
        <f t="array" ref="G138">IFERROR(INDEX('計測入力シート（ここのみ編集可）'!$E$17:$E$116,MATCH(A135&amp;B135,'計測入力シート（ここのみ編集可）'!$BO$17:$BO$116,0)),"")</f>
        <v/>
      </c>
      <c r="H138" s="289"/>
    </row>
    <row r="139" ht="24.75" customHeight="1">
      <c r="D139" s="290" t="s">
        <v>92</v>
      </c>
      <c r="E139" s="291" t="str">
        <f t="array" ref="E139">IFERROR(INDEX(#REF!,MATCH(A135&amp;B135,'計測入力シート（ここのみ編集可）'!$BO$17:$BO$116,0)),"")</f>
        <v/>
      </c>
      <c r="H139" s="232"/>
    </row>
    <row r="140" ht="52.5" customHeight="1">
      <c r="D140" s="292" t="s">
        <v>100</v>
      </c>
      <c r="E140" s="293" t="str">
        <f t="array" ref="E140">IFERROR(INDEX(#REF!,MATCH(A135&amp;B135,'計測入力シート（ここのみ編集可）'!$BO$17:$BO$116,0)),"")</f>
        <v/>
      </c>
      <c r="F140" s="95"/>
      <c r="G140" s="95"/>
      <c r="H140" s="96"/>
    </row>
    <row r="141" ht="20.25" customHeight="1">
      <c r="D141" s="294" t="s">
        <v>39</v>
      </c>
      <c r="E141" s="295" t="str">
        <f t="array" ref="E141">IFERROR(INDEX('計測入力シート（ここのみ編集可）'!$AW$17:$AW$116,MATCH(A135&amp;B135,'計測入力シート（ここのみ編集可）'!$BO$17:$BO$116,0)),"")</f>
        <v/>
      </c>
      <c r="F141" s="296"/>
      <c r="G141" s="297" t="s">
        <v>110</v>
      </c>
      <c r="H141" s="298" t="str">
        <f t="array" ref="H141">IFERROR(INDEX('計測入力シート（ここのみ編集可）'!$AY$17:$AY$116,MATCH(A135&amp;B135,'計測入力シート（ここのみ編集可）'!$BO$17:$BO$116,0)),"")</f>
        <v/>
      </c>
    </row>
    <row r="142" ht="20.25" customHeight="1">
      <c r="D142" s="299" t="s">
        <v>42</v>
      </c>
      <c r="E142" s="300" t="str">
        <f t="array" ref="E142">IFERROR(INDEX('計測入力シート（ここのみ編集可）'!$AZ$17:$AZ$116,MATCH(A135&amp;B135,'計測入力シート（ここのみ編集可）'!$BO$17:$BO$116,0)),"")</f>
        <v/>
      </c>
      <c r="F142" s="116"/>
      <c r="G142" s="301" t="s">
        <v>111</v>
      </c>
      <c r="H142" s="302" t="str">
        <f t="array" ref="H142">IFERROR(INDEX('計測入力シート（ここのみ編集可）'!$BB$17:$BB$116,MATCH(A135&amp;B135,'計測入力シート（ここのみ編集可）'!$BO$17:$BO$116,0)),"")</f>
        <v/>
      </c>
    </row>
    <row r="143" ht="20.25" customHeight="1">
      <c r="D143" s="303" t="s">
        <v>112</v>
      </c>
      <c r="E143" s="304" t="str">
        <f t="array" ref="E143">IFERROR(INDEX('計測入力シート（ここのみ編集可）'!$BC$17:$BC$116,MATCH(A135&amp;B135,'計測入力シート（ここのみ編集可）'!$BO$17:$BO$116,0)),"")</f>
        <v/>
      </c>
      <c r="F143" s="305"/>
      <c r="G143" s="306" t="s">
        <v>25</v>
      </c>
      <c r="H143" s="307" t="str">
        <f t="array" ref="H143">IFERROR(INDEX('計測入力シート（ここのみ編集可）'!$BD$17:$BD$116,MATCH(A135&amp;B135,'計測入力シート（ここのみ編集可）'!$BO$17:$BO$116,0)),"")</f>
        <v/>
      </c>
    </row>
    <row r="144" ht="20.25" customHeight="1">
      <c r="D144" s="308"/>
    </row>
    <row r="145" ht="27.0" customHeight="1">
      <c r="A145" s="52" t="str">
        <f>A135</f>
        <v>C2</v>
      </c>
      <c r="B145" s="52">
        <f>B135+1</f>
        <v>15</v>
      </c>
      <c r="D145" s="271" t="s">
        <v>80</v>
      </c>
      <c r="E145" s="272" t="s">
        <v>81</v>
      </c>
      <c r="F145" s="272" t="s">
        <v>82</v>
      </c>
      <c r="G145" s="273" t="s">
        <v>49</v>
      </c>
      <c r="H145" s="274"/>
    </row>
    <row r="146" ht="27.0" customHeight="1">
      <c r="A146" s="86"/>
      <c r="B146" s="86"/>
      <c r="D146" s="275" t="str">
        <f t="array" ref="D146">IFERROR(INDEX('計測入力シート（ここのみ編集可）'!$BN$17:$BN$116,MATCH(A145&amp;B145,'計測入力シート（ここのみ編集可）'!$BO$17:$BO$116,0)),"")</f>
        <v/>
      </c>
      <c r="E146" s="276" t="str">
        <f t="array" ref="E146">IFERROR(INDEX('計測入力シート（ここのみ編集可）'!$BP$17:$BP$116,MATCH(A145&amp;B145,'計測入力シート（ここのみ編集可）'!$BO$17:$BO$116,0)),"")</f>
        <v/>
      </c>
      <c r="F146" s="277" t="str">
        <f t="array" ref="F146">IFERROR(INDEX('計測入力シート（ここのみ編集可）'!$BR$17:$BR$116,MATCH(A145&amp;B145,'計測入力シート（ここのみ編集可）'!$BO$17:$BO$116,0)),"")</f>
        <v/>
      </c>
      <c r="G146" s="278" t="str">
        <f t="array" ref="G146">IFERROR(INDEX('計測入力シート（ここのみ編集可）'!$BL$17:$BL$116,MATCH(A145&amp;B145,'計測入力シート（ここのみ編集可）'!$BO$17:$BO$116,0)),"")</f>
        <v/>
      </c>
      <c r="H146" s="279"/>
    </row>
    <row r="147" ht="27.0" customHeight="1">
      <c r="D147" s="280" t="s">
        <v>2</v>
      </c>
      <c r="E147" s="281" t="str">
        <f t="array" ref="E147">IFERROR(INDEX('計測入力シート（ここのみ編集可）'!$C$17:$C$116,MATCH(A145&amp;B145,'計測入力シート（ここのみ編集可）'!$BO$17:$BO$116,0)),"")</f>
        <v/>
      </c>
      <c r="F147" s="282" t="s">
        <v>17</v>
      </c>
      <c r="G147" s="283" t="str">
        <f t="array" ref="G147">IFERROR(INDEX('計測入力シート（ここのみ編集可）'!$D$17:$D$116,MATCH(A145&amp;B145,'計測入力シート（ここのみ編集可）'!$BO$17:$BO$116,0)),"")</f>
        <v/>
      </c>
      <c r="H147" s="284"/>
    </row>
    <row r="148" ht="27.0" customHeight="1">
      <c r="D148" s="285" t="s">
        <v>1</v>
      </c>
      <c r="E148" s="286" t="str">
        <f t="array" ref="E148">IFERROR(INDEX('計測入力シート（ここのみ編集可）'!$B$17:$B$116,MATCH(A145&amp;B145,'計測入力シート（ここのみ編集可）'!$BO$17:$BO$116,0)),"")</f>
        <v/>
      </c>
      <c r="F148" s="287" t="s">
        <v>18</v>
      </c>
      <c r="G148" s="288" t="str">
        <f t="array" ref="G148">IFERROR(INDEX('計測入力シート（ここのみ編集可）'!$E$17:$E$116,MATCH(A145&amp;B145,'計測入力シート（ここのみ編集可）'!$BO$17:$BO$116,0)),"")</f>
        <v/>
      </c>
      <c r="H148" s="289"/>
    </row>
    <row r="149" ht="24.75" customHeight="1">
      <c r="D149" s="290" t="s">
        <v>92</v>
      </c>
      <c r="E149" s="291" t="str">
        <f t="array" ref="E149">IFERROR(INDEX(#REF!,MATCH(A145&amp;B145,'計測入力シート（ここのみ編集可）'!$BO$17:$BO$116,0)),"")</f>
        <v/>
      </c>
      <c r="H149" s="232"/>
    </row>
    <row r="150" ht="52.5" customHeight="1">
      <c r="D150" s="292" t="s">
        <v>100</v>
      </c>
      <c r="E150" s="293" t="str">
        <f t="array" ref="E150">IFERROR(INDEX(#REF!,MATCH(A145&amp;B145,'計測入力シート（ここのみ編集可）'!$BO$17:$BO$116,0)),"")</f>
        <v/>
      </c>
      <c r="F150" s="95"/>
      <c r="G150" s="95"/>
      <c r="H150" s="96"/>
    </row>
    <row r="151" ht="20.25" customHeight="1">
      <c r="D151" s="294" t="s">
        <v>39</v>
      </c>
      <c r="E151" s="295" t="str">
        <f t="array" ref="E151">IFERROR(INDEX('計測入力シート（ここのみ編集可）'!$AW$17:$AW$116,MATCH(A145&amp;B145,'計測入力シート（ここのみ編集可）'!$BO$17:$BO$116,0)),"")</f>
        <v/>
      </c>
      <c r="F151" s="296"/>
      <c r="G151" s="297" t="s">
        <v>110</v>
      </c>
      <c r="H151" s="298" t="str">
        <f t="array" ref="H151">IFERROR(INDEX('計測入力シート（ここのみ編集可）'!$AY$17:$AY$116,MATCH(A145&amp;B145,'計測入力シート（ここのみ編集可）'!$BO$17:$BO$116,0)),"")</f>
        <v/>
      </c>
    </row>
    <row r="152" ht="20.25" customHeight="1">
      <c r="D152" s="299" t="s">
        <v>42</v>
      </c>
      <c r="E152" s="300" t="str">
        <f t="array" ref="E152">IFERROR(INDEX('計測入力シート（ここのみ編集可）'!$AZ$17:$AZ$116,MATCH(A145&amp;B145,'計測入力シート（ここのみ編集可）'!$BO$17:$BO$116,0)),"")</f>
        <v/>
      </c>
      <c r="F152" s="116"/>
      <c r="G152" s="301" t="s">
        <v>111</v>
      </c>
      <c r="H152" s="302" t="str">
        <f t="array" ref="H152">IFERROR(INDEX('計測入力シート（ここのみ編集可）'!$BB$17:$BB$116,MATCH(A145&amp;B145,'計測入力シート（ここのみ編集可）'!$BO$17:$BO$116,0)),"")</f>
        <v/>
      </c>
    </row>
    <row r="153" ht="20.25" customHeight="1">
      <c r="D153" s="303" t="s">
        <v>112</v>
      </c>
      <c r="E153" s="304" t="str">
        <f t="array" ref="E153">IFERROR(INDEX('計測入力シート（ここのみ編集可）'!$BC$17:$BC$116,MATCH(A145&amp;B145,'計測入力シート（ここのみ編集可）'!$BO$17:$BO$116,0)),"")</f>
        <v/>
      </c>
      <c r="F153" s="305"/>
      <c r="G153" s="306" t="s">
        <v>25</v>
      </c>
      <c r="H153" s="307" t="str">
        <f t="array" ref="H153">IFERROR(INDEX('計測入力シート（ここのみ編集可）'!$BD$17:$BD$116,MATCH(A145&amp;B145,'計測入力シート（ここのみ編集可）'!$BO$17:$BO$116,0)),"")</f>
        <v/>
      </c>
    </row>
    <row r="154" ht="20.25" customHeight="1">
      <c r="D154" s="308"/>
    </row>
    <row r="155" ht="27.0" customHeight="1">
      <c r="A155" s="52" t="str">
        <f>A145</f>
        <v>C2</v>
      </c>
      <c r="B155" s="52">
        <f>B145+1</f>
        <v>16</v>
      </c>
      <c r="D155" s="271" t="s">
        <v>80</v>
      </c>
      <c r="E155" s="272" t="s">
        <v>81</v>
      </c>
      <c r="F155" s="272" t="s">
        <v>82</v>
      </c>
      <c r="G155" s="273" t="s">
        <v>49</v>
      </c>
      <c r="H155" s="274"/>
    </row>
    <row r="156" ht="27.0" customHeight="1">
      <c r="A156" s="86"/>
      <c r="B156" s="86"/>
      <c r="D156" s="275" t="str">
        <f t="array" ref="D156">IFERROR(INDEX('計測入力シート（ここのみ編集可）'!$BN$17:$BN$116,MATCH(A155&amp;B155,'計測入力シート（ここのみ編集可）'!$BO$17:$BO$116,0)),"")</f>
        <v/>
      </c>
      <c r="E156" s="276" t="str">
        <f t="array" ref="E156">IFERROR(INDEX('計測入力シート（ここのみ編集可）'!$BP$17:$BP$116,MATCH(A155&amp;B155,'計測入力シート（ここのみ編集可）'!$BO$17:$BO$116,0)),"")</f>
        <v/>
      </c>
      <c r="F156" s="277" t="str">
        <f t="array" ref="F156">IFERROR(INDEX('計測入力シート（ここのみ編集可）'!$BR$17:$BR$116,MATCH(A155&amp;B155,'計測入力シート（ここのみ編集可）'!$BO$17:$BO$116,0)),"")</f>
        <v/>
      </c>
      <c r="G156" s="278" t="str">
        <f t="array" ref="G156">IFERROR(INDEX('計測入力シート（ここのみ編集可）'!$BL$17:$BL$116,MATCH(A155&amp;B155,'計測入力シート（ここのみ編集可）'!$BO$17:$BO$116,0)),"")</f>
        <v/>
      </c>
      <c r="H156" s="279"/>
    </row>
    <row r="157" ht="27.0" customHeight="1">
      <c r="D157" s="280" t="s">
        <v>2</v>
      </c>
      <c r="E157" s="281" t="str">
        <f t="array" ref="E157">IFERROR(INDEX('計測入力シート（ここのみ編集可）'!$C$17:$C$116,MATCH(A155&amp;B155,'計測入力シート（ここのみ編集可）'!$BO$17:$BO$116,0)),"")</f>
        <v/>
      </c>
      <c r="F157" s="282" t="s">
        <v>17</v>
      </c>
      <c r="G157" s="283" t="str">
        <f t="array" ref="G157">IFERROR(INDEX('計測入力シート（ここのみ編集可）'!$D$17:$D$116,MATCH(A155&amp;B155,'計測入力シート（ここのみ編集可）'!$BO$17:$BO$116,0)),"")</f>
        <v/>
      </c>
      <c r="H157" s="284"/>
    </row>
    <row r="158" ht="27.0" customHeight="1">
      <c r="D158" s="285" t="s">
        <v>1</v>
      </c>
      <c r="E158" s="286" t="str">
        <f t="array" ref="E158">IFERROR(INDEX('計測入力シート（ここのみ編集可）'!$B$17:$B$116,MATCH(A155&amp;B155,'計測入力シート（ここのみ編集可）'!$BO$17:$BO$116,0)),"")</f>
        <v/>
      </c>
      <c r="F158" s="287" t="s">
        <v>18</v>
      </c>
      <c r="G158" s="288" t="str">
        <f t="array" ref="G158">IFERROR(INDEX('計測入力シート（ここのみ編集可）'!$E$17:$E$116,MATCH(A155&amp;B155,'計測入力シート（ここのみ編集可）'!$BO$17:$BO$116,0)),"")</f>
        <v/>
      </c>
      <c r="H158" s="289"/>
    </row>
    <row r="159" ht="24.75" customHeight="1">
      <c r="D159" s="290" t="s">
        <v>92</v>
      </c>
      <c r="E159" s="291" t="str">
        <f t="array" ref="E159">IFERROR(INDEX(#REF!,MATCH(A155&amp;B155,'計測入力シート（ここのみ編集可）'!$BO$17:$BO$116,0)),"")</f>
        <v/>
      </c>
      <c r="H159" s="232"/>
    </row>
    <row r="160" ht="52.5" customHeight="1">
      <c r="D160" s="292" t="s">
        <v>100</v>
      </c>
      <c r="E160" s="293" t="str">
        <f t="array" ref="E160">IFERROR(INDEX(#REF!,MATCH(A155&amp;B155,'計測入力シート（ここのみ編集可）'!$BO$17:$BO$116,0)),"")</f>
        <v/>
      </c>
      <c r="F160" s="95"/>
      <c r="G160" s="95"/>
      <c r="H160" s="96"/>
    </row>
    <row r="161" ht="20.25" customHeight="1">
      <c r="D161" s="294" t="s">
        <v>39</v>
      </c>
      <c r="E161" s="295" t="str">
        <f t="array" ref="E161">IFERROR(INDEX('計測入力シート（ここのみ編集可）'!$AW$17:$AW$116,MATCH(A155&amp;B155,'計測入力シート（ここのみ編集可）'!$BO$17:$BO$116,0)),"")</f>
        <v/>
      </c>
      <c r="F161" s="296"/>
      <c r="G161" s="297" t="s">
        <v>110</v>
      </c>
      <c r="H161" s="298" t="str">
        <f t="array" ref="H161">IFERROR(INDEX('計測入力シート（ここのみ編集可）'!$AY$17:$AY$116,MATCH(A155&amp;B155,'計測入力シート（ここのみ編集可）'!$BO$17:$BO$116,0)),"")</f>
        <v/>
      </c>
    </row>
    <row r="162" ht="20.25" customHeight="1">
      <c r="D162" s="299" t="s">
        <v>42</v>
      </c>
      <c r="E162" s="300" t="str">
        <f t="array" ref="E162">IFERROR(INDEX('計測入力シート（ここのみ編集可）'!$AZ$17:$AZ$116,MATCH(A155&amp;B155,'計測入力シート（ここのみ編集可）'!$BO$17:$BO$116,0)),"")</f>
        <v/>
      </c>
      <c r="F162" s="116"/>
      <c r="G162" s="301" t="s">
        <v>111</v>
      </c>
      <c r="H162" s="302" t="str">
        <f t="array" ref="H162">IFERROR(INDEX('計測入力シート（ここのみ編集可）'!$BB$17:$BB$116,MATCH(A155&amp;B155,'計測入力シート（ここのみ編集可）'!$BO$17:$BO$116,0)),"")</f>
        <v/>
      </c>
    </row>
    <row r="163" ht="20.25" customHeight="1">
      <c r="D163" s="303" t="s">
        <v>112</v>
      </c>
      <c r="E163" s="304" t="str">
        <f t="array" ref="E163">IFERROR(INDEX('計測入力シート（ここのみ編集可）'!$BC$17:$BC$116,MATCH(A155&amp;B155,'計測入力シート（ここのみ編集可）'!$BO$17:$BO$116,0)),"")</f>
        <v/>
      </c>
      <c r="F163" s="305"/>
      <c r="G163" s="306" t="s">
        <v>25</v>
      </c>
      <c r="H163" s="307" t="str">
        <f t="array" ref="H163">IFERROR(INDEX('計測入力シート（ここのみ編集可）'!$BD$17:$BD$116,MATCH(A155&amp;B155,'計測入力シート（ここのみ編集可）'!$BO$17:$BO$116,0)),"")</f>
        <v/>
      </c>
    </row>
    <row r="164" ht="20.25" customHeight="1">
      <c r="D164" s="308"/>
    </row>
    <row r="165" ht="27.0" customHeight="1">
      <c r="A165" s="52" t="str">
        <f>A155</f>
        <v>C2</v>
      </c>
      <c r="B165" s="52">
        <f>B155+1</f>
        <v>17</v>
      </c>
      <c r="D165" s="271" t="s">
        <v>80</v>
      </c>
      <c r="E165" s="272" t="s">
        <v>81</v>
      </c>
      <c r="F165" s="272" t="s">
        <v>82</v>
      </c>
      <c r="G165" s="273" t="s">
        <v>49</v>
      </c>
      <c r="H165" s="274"/>
    </row>
    <row r="166" ht="27.0" customHeight="1">
      <c r="A166" s="86"/>
      <c r="B166" s="86"/>
      <c r="D166" s="275" t="str">
        <f t="array" ref="D166">IFERROR(INDEX('計測入力シート（ここのみ編集可）'!$BN$17:$BN$116,MATCH(A165&amp;B165,'計測入力シート（ここのみ編集可）'!$BO$17:$BO$116,0)),"")</f>
        <v/>
      </c>
      <c r="E166" s="276" t="str">
        <f t="array" ref="E166">IFERROR(INDEX('計測入力シート（ここのみ編集可）'!$BP$17:$BP$116,MATCH(A165&amp;B165,'計測入力シート（ここのみ編集可）'!$BO$17:$BO$116,0)),"")</f>
        <v/>
      </c>
      <c r="F166" s="277" t="str">
        <f t="array" ref="F166">IFERROR(INDEX('計測入力シート（ここのみ編集可）'!$BR$17:$BR$116,MATCH(A165&amp;B165,'計測入力シート（ここのみ編集可）'!$BO$17:$BO$116,0)),"")</f>
        <v/>
      </c>
      <c r="G166" s="278" t="str">
        <f t="array" ref="G166">IFERROR(INDEX('計測入力シート（ここのみ編集可）'!$BL$17:$BL$116,MATCH(A165&amp;B165,'計測入力シート（ここのみ編集可）'!$BO$17:$BO$116,0)),"")</f>
        <v/>
      </c>
      <c r="H166" s="279"/>
    </row>
    <row r="167" ht="27.0" customHeight="1">
      <c r="D167" s="280" t="s">
        <v>2</v>
      </c>
      <c r="E167" s="281" t="str">
        <f t="array" ref="E167">IFERROR(INDEX('計測入力シート（ここのみ編集可）'!$C$17:$C$116,MATCH(A165&amp;B165,'計測入力シート（ここのみ編集可）'!$BO$17:$BO$116,0)),"")</f>
        <v/>
      </c>
      <c r="F167" s="282" t="s">
        <v>17</v>
      </c>
      <c r="G167" s="283" t="str">
        <f t="array" ref="G167">IFERROR(INDEX('計測入力シート（ここのみ編集可）'!$D$17:$D$116,MATCH(A165&amp;B165,'計測入力シート（ここのみ編集可）'!$BO$17:$BO$116,0)),"")</f>
        <v/>
      </c>
      <c r="H167" s="284"/>
    </row>
    <row r="168" ht="27.0" customHeight="1">
      <c r="D168" s="285" t="s">
        <v>1</v>
      </c>
      <c r="E168" s="286" t="str">
        <f t="array" ref="E168">IFERROR(INDEX('計測入力シート（ここのみ編集可）'!$B$17:$B$116,MATCH(A165&amp;B165,'計測入力シート（ここのみ編集可）'!$BO$17:$BO$116,0)),"")</f>
        <v/>
      </c>
      <c r="F168" s="287" t="s">
        <v>18</v>
      </c>
      <c r="G168" s="288" t="str">
        <f t="array" ref="G168">IFERROR(INDEX('計測入力シート（ここのみ編集可）'!$E$17:$E$116,MATCH(A165&amp;B165,'計測入力シート（ここのみ編集可）'!$BO$17:$BO$116,0)),"")</f>
        <v/>
      </c>
      <c r="H168" s="289"/>
    </row>
    <row r="169" ht="24.75" customHeight="1">
      <c r="D169" s="290" t="s">
        <v>92</v>
      </c>
      <c r="E169" s="291" t="str">
        <f t="array" ref="E169">IFERROR(INDEX(#REF!,MATCH(A165&amp;B165,'計測入力シート（ここのみ編集可）'!$BO$17:$BO$116,0)),"")</f>
        <v/>
      </c>
      <c r="H169" s="232"/>
    </row>
    <row r="170" ht="52.5" customHeight="1">
      <c r="D170" s="292" t="s">
        <v>100</v>
      </c>
      <c r="E170" s="293" t="str">
        <f t="array" ref="E170">IFERROR(INDEX(#REF!,MATCH(A165&amp;B165,'計測入力シート（ここのみ編集可）'!$BO$17:$BO$116,0)),"")</f>
        <v/>
      </c>
      <c r="F170" s="95"/>
      <c r="G170" s="95"/>
      <c r="H170" s="96"/>
    </row>
    <row r="171" ht="20.25" customHeight="1">
      <c r="D171" s="294" t="s">
        <v>39</v>
      </c>
      <c r="E171" s="295" t="str">
        <f t="array" ref="E171">IFERROR(INDEX('計測入力シート（ここのみ編集可）'!$AW$17:$AW$116,MATCH(A165&amp;B165,'計測入力シート（ここのみ編集可）'!$BO$17:$BO$116,0)),"")</f>
        <v/>
      </c>
      <c r="F171" s="296"/>
      <c r="G171" s="297" t="s">
        <v>110</v>
      </c>
      <c r="H171" s="298" t="str">
        <f t="array" ref="H171">IFERROR(INDEX('計測入力シート（ここのみ編集可）'!$AY$17:$AY$116,MATCH(A165&amp;B165,'計測入力シート（ここのみ編集可）'!$BO$17:$BO$116,0)),"")</f>
        <v/>
      </c>
    </row>
    <row r="172" ht="20.25" customHeight="1">
      <c r="D172" s="299" t="s">
        <v>42</v>
      </c>
      <c r="E172" s="300" t="str">
        <f t="array" ref="E172">IFERROR(INDEX('計測入力シート（ここのみ編集可）'!$AZ$17:$AZ$116,MATCH(A165&amp;B165,'計測入力シート（ここのみ編集可）'!$BO$17:$BO$116,0)),"")</f>
        <v/>
      </c>
      <c r="F172" s="116"/>
      <c r="G172" s="301" t="s">
        <v>111</v>
      </c>
      <c r="H172" s="302" t="str">
        <f t="array" ref="H172">IFERROR(INDEX('計測入力シート（ここのみ編集可）'!$BB$17:$BB$116,MATCH(A165&amp;B165,'計測入力シート（ここのみ編集可）'!$BO$17:$BO$116,0)),"")</f>
        <v/>
      </c>
    </row>
    <row r="173" ht="20.25" customHeight="1">
      <c r="D173" s="303" t="s">
        <v>112</v>
      </c>
      <c r="E173" s="304" t="str">
        <f t="array" ref="E173">IFERROR(INDEX('計測入力シート（ここのみ編集可）'!$BC$17:$BC$116,MATCH(A165&amp;B165,'計測入力シート（ここのみ編集可）'!$BO$17:$BO$116,0)),"")</f>
        <v/>
      </c>
      <c r="F173" s="305"/>
      <c r="G173" s="306" t="s">
        <v>25</v>
      </c>
      <c r="H173" s="307" t="str">
        <f t="array" ref="H173">IFERROR(INDEX('計測入力シート（ここのみ編集可）'!$BD$17:$BD$116,MATCH(A165&amp;B165,'計測入力シート（ここのみ編集可）'!$BO$17:$BO$116,0)),"")</f>
        <v/>
      </c>
    </row>
    <row r="174" ht="20.25" customHeight="1">
      <c r="D174" s="308"/>
    </row>
    <row r="175" ht="27.0" customHeight="1">
      <c r="A175" s="52" t="str">
        <f>A165</f>
        <v>C2</v>
      </c>
      <c r="B175" s="52">
        <f>B165+1</f>
        <v>18</v>
      </c>
      <c r="D175" s="271" t="s">
        <v>80</v>
      </c>
      <c r="E175" s="272" t="s">
        <v>81</v>
      </c>
      <c r="F175" s="272" t="s">
        <v>82</v>
      </c>
      <c r="G175" s="273" t="s">
        <v>49</v>
      </c>
      <c r="H175" s="274"/>
    </row>
    <row r="176" ht="27.0" customHeight="1">
      <c r="A176" s="86"/>
      <c r="B176" s="86"/>
      <c r="D176" s="275" t="str">
        <f t="array" ref="D176">IFERROR(INDEX('計測入力シート（ここのみ編集可）'!$BN$17:$BN$116,MATCH(A175&amp;B175,'計測入力シート（ここのみ編集可）'!$BO$17:$BO$116,0)),"")</f>
        <v/>
      </c>
      <c r="E176" s="276" t="str">
        <f t="array" ref="E176">IFERROR(INDEX('計測入力シート（ここのみ編集可）'!$BP$17:$BP$116,MATCH(A175&amp;B175,'計測入力シート（ここのみ編集可）'!$BO$17:$BO$116,0)),"")</f>
        <v/>
      </c>
      <c r="F176" s="277" t="str">
        <f t="array" ref="F176">IFERROR(INDEX('計測入力シート（ここのみ編集可）'!$BR$17:$BR$116,MATCH(A175&amp;B175,'計測入力シート（ここのみ編集可）'!$BO$17:$BO$116,0)),"")</f>
        <v/>
      </c>
      <c r="G176" s="278" t="str">
        <f t="array" ref="G176">IFERROR(INDEX('計測入力シート（ここのみ編集可）'!$BL$17:$BL$116,MATCH(A175&amp;B175,'計測入力シート（ここのみ編集可）'!$BO$17:$BO$116,0)),"")</f>
        <v/>
      </c>
      <c r="H176" s="279"/>
    </row>
    <row r="177" ht="27.0" customHeight="1">
      <c r="D177" s="280" t="s">
        <v>2</v>
      </c>
      <c r="E177" s="281" t="str">
        <f t="array" ref="E177">IFERROR(INDEX('計測入力シート（ここのみ編集可）'!$C$17:$C$116,MATCH(A175&amp;B175,'計測入力シート（ここのみ編集可）'!$BO$17:$BO$116,0)),"")</f>
        <v/>
      </c>
      <c r="F177" s="282" t="s">
        <v>17</v>
      </c>
      <c r="G177" s="283" t="str">
        <f t="array" ref="G177">IFERROR(INDEX('計測入力シート（ここのみ編集可）'!$D$17:$D$116,MATCH(A175&amp;B175,'計測入力シート（ここのみ編集可）'!$BO$17:$BO$116,0)),"")</f>
        <v/>
      </c>
      <c r="H177" s="284"/>
    </row>
    <row r="178" ht="27.0" customHeight="1">
      <c r="D178" s="285" t="s">
        <v>1</v>
      </c>
      <c r="E178" s="286" t="str">
        <f t="array" ref="E178">IFERROR(INDEX('計測入力シート（ここのみ編集可）'!$B$17:$B$116,MATCH(A175&amp;B175,'計測入力シート（ここのみ編集可）'!$BO$17:$BO$116,0)),"")</f>
        <v/>
      </c>
      <c r="F178" s="287" t="s">
        <v>18</v>
      </c>
      <c r="G178" s="288" t="str">
        <f t="array" ref="G178">IFERROR(INDEX('計測入力シート（ここのみ編集可）'!$E$17:$E$116,MATCH(A175&amp;B175,'計測入力シート（ここのみ編集可）'!$BO$17:$BO$116,0)),"")</f>
        <v/>
      </c>
      <c r="H178" s="289"/>
    </row>
    <row r="179" ht="24.75" customHeight="1">
      <c r="D179" s="290" t="s">
        <v>92</v>
      </c>
      <c r="E179" s="291" t="str">
        <f t="array" ref="E179">IFERROR(INDEX(#REF!,MATCH(A175&amp;B175,'計測入力シート（ここのみ編集可）'!$BO$17:$BO$116,0)),"")</f>
        <v/>
      </c>
      <c r="H179" s="232"/>
    </row>
    <row r="180" ht="52.5" customHeight="1">
      <c r="D180" s="292" t="s">
        <v>100</v>
      </c>
      <c r="E180" s="293" t="str">
        <f t="array" ref="E180">IFERROR(INDEX(#REF!,MATCH(A175&amp;B175,'計測入力シート（ここのみ編集可）'!$BO$17:$BO$116,0)),"")</f>
        <v/>
      </c>
      <c r="F180" s="95"/>
      <c r="G180" s="95"/>
      <c r="H180" s="96"/>
    </row>
    <row r="181" ht="20.25" customHeight="1">
      <c r="D181" s="294" t="s">
        <v>39</v>
      </c>
      <c r="E181" s="295" t="str">
        <f t="array" ref="E181">IFERROR(INDEX('計測入力シート（ここのみ編集可）'!$AW$17:$AW$116,MATCH(A175&amp;B175,'計測入力シート（ここのみ編集可）'!$BO$17:$BO$116,0)),"")</f>
        <v/>
      </c>
      <c r="F181" s="296"/>
      <c r="G181" s="297" t="s">
        <v>110</v>
      </c>
      <c r="H181" s="298" t="str">
        <f t="array" ref="H181">IFERROR(INDEX('計測入力シート（ここのみ編集可）'!$AY$17:$AY$116,MATCH(A175&amp;B175,'計測入力シート（ここのみ編集可）'!$BO$17:$BO$116,0)),"")</f>
        <v/>
      </c>
    </row>
    <row r="182" ht="20.25" customHeight="1">
      <c r="D182" s="299" t="s">
        <v>42</v>
      </c>
      <c r="E182" s="300" t="str">
        <f t="array" ref="E182">IFERROR(INDEX('計測入力シート（ここのみ編集可）'!$AZ$17:$AZ$116,MATCH(A175&amp;B175,'計測入力シート（ここのみ編集可）'!$BO$17:$BO$116,0)),"")</f>
        <v/>
      </c>
      <c r="F182" s="116"/>
      <c r="G182" s="301" t="s">
        <v>111</v>
      </c>
      <c r="H182" s="302" t="str">
        <f t="array" ref="H182">IFERROR(INDEX('計測入力シート（ここのみ編集可）'!$BB$17:$BB$116,MATCH(A175&amp;B175,'計測入力シート（ここのみ編集可）'!$BO$17:$BO$116,0)),"")</f>
        <v/>
      </c>
    </row>
    <row r="183" ht="20.25" customHeight="1">
      <c r="D183" s="303" t="s">
        <v>112</v>
      </c>
      <c r="E183" s="304" t="str">
        <f t="array" ref="E183">IFERROR(INDEX('計測入力シート（ここのみ編集可）'!$BC$17:$BC$116,MATCH(A175&amp;B175,'計測入力シート（ここのみ編集可）'!$BO$17:$BO$116,0)),"")</f>
        <v/>
      </c>
      <c r="F183" s="305"/>
      <c r="G183" s="306" t="s">
        <v>25</v>
      </c>
      <c r="H183" s="307" t="str">
        <f t="array" ref="H183">IFERROR(INDEX('計測入力シート（ここのみ編集可）'!$BD$17:$BD$116,MATCH(A175&amp;B175,'計測入力シート（ここのみ編集可）'!$BO$17:$BO$116,0)),"")</f>
        <v/>
      </c>
    </row>
    <row r="184" ht="20.25" customHeight="1">
      <c r="D184" s="308"/>
    </row>
    <row r="185" ht="27.0" customHeight="1">
      <c r="A185" s="52" t="str">
        <f>A175</f>
        <v>C2</v>
      </c>
      <c r="B185" s="52">
        <f>B175+1</f>
        <v>19</v>
      </c>
      <c r="D185" s="271" t="s">
        <v>80</v>
      </c>
      <c r="E185" s="272" t="s">
        <v>81</v>
      </c>
      <c r="F185" s="272" t="s">
        <v>82</v>
      </c>
      <c r="G185" s="273" t="s">
        <v>49</v>
      </c>
      <c r="H185" s="274"/>
    </row>
    <row r="186" ht="27.0" customHeight="1">
      <c r="A186" s="86"/>
      <c r="B186" s="86"/>
      <c r="D186" s="275" t="str">
        <f t="array" ref="D186">IFERROR(INDEX('計測入力シート（ここのみ編集可）'!$BN$17:$BN$116,MATCH(A185&amp;B185,'計測入力シート（ここのみ編集可）'!$BO$17:$BO$116,0)),"")</f>
        <v/>
      </c>
      <c r="E186" s="276" t="str">
        <f t="array" ref="E186">IFERROR(INDEX('計測入力シート（ここのみ編集可）'!$BP$17:$BP$116,MATCH(A185&amp;B185,'計測入力シート（ここのみ編集可）'!$BO$17:$BO$116,0)),"")</f>
        <v/>
      </c>
      <c r="F186" s="277" t="str">
        <f t="array" ref="F186">IFERROR(INDEX('計測入力シート（ここのみ編集可）'!$BR$17:$BR$116,MATCH(A185&amp;B185,'計測入力シート（ここのみ編集可）'!$BO$17:$BO$116,0)),"")</f>
        <v/>
      </c>
      <c r="G186" s="278" t="str">
        <f t="array" ref="G186">IFERROR(INDEX('計測入力シート（ここのみ編集可）'!$BL$17:$BL$116,MATCH(A185&amp;B185,'計測入力シート（ここのみ編集可）'!$BO$17:$BO$116,0)),"")</f>
        <v/>
      </c>
      <c r="H186" s="279"/>
    </row>
    <row r="187" ht="27.0" customHeight="1">
      <c r="D187" s="280" t="s">
        <v>2</v>
      </c>
      <c r="E187" s="281" t="str">
        <f t="array" ref="E187">IFERROR(INDEX('計測入力シート（ここのみ編集可）'!$C$17:$C$116,MATCH(A185&amp;B185,'計測入力シート（ここのみ編集可）'!$BO$17:$BO$116,0)),"")</f>
        <v/>
      </c>
      <c r="F187" s="282" t="s">
        <v>17</v>
      </c>
      <c r="G187" s="283" t="str">
        <f t="array" ref="G187">IFERROR(INDEX('計測入力シート（ここのみ編集可）'!$D$17:$D$116,MATCH(A185&amp;B185,'計測入力シート（ここのみ編集可）'!$BO$17:$BO$116,0)),"")</f>
        <v/>
      </c>
      <c r="H187" s="284"/>
    </row>
    <row r="188" ht="27.0" customHeight="1">
      <c r="D188" s="285" t="s">
        <v>1</v>
      </c>
      <c r="E188" s="286" t="str">
        <f t="array" ref="E188">IFERROR(INDEX('計測入力シート（ここのみ編集可）'!$B$17:$B$116,MATCH(A185&amp;B185,'計測入力シート（ここのみ編集可）'!$BO$17:$BO$116,0)),"")</f>
        <v/>
      </c>
      <c r="F188" s="287" t="s">
        <v>18</v>
      </c>
      <c r="G188" s="288" t="str">
        <f t="array" ref="G188">IFERROR(INDEX('計測入力シート（ここのみ編集可）'!$E$17:$E$116,MATCH(A185&amp;B185,'計測入力シート（ここのみ編集可）'!$BO$17:$BO$116,0)),"")</f>
        <v/>
      </c>
      <c r="H188" s="289"/>
    </row>
    <row r="189" ht="24.75" customHeight="1">
      <c r="D189" s="290" t="s">
        <v>92</v>
      </c>
      <c r="E189" s="291" t="str">
        <f t="array" ref="E189">IFERROR(INDEX(#REF!,MATCH(A185&amp;B185,'計測入力シート（ここのみ編集可）'!$BO$17:$BO$116,0)),"")</f>
        <v/>
      </c>
      <c r="H189" s="232"/>
    </row>
    <row r="190" ht="52.5" customHeight="1">
      <c r="D190" s="292" t="s">
        <v>100</v>
      </c>
      <c r="E190" s="293" t="str">
        <f t="array" ref="E190">IFERROR(INDEX(#REF!,MATCH(A185&amp;B185,'計測入力シート（ここのみ編集可）'!$BO$17:$BO$116,0)),"")</f>
        <v/>
      </c>
      <c r="F190" s="95"/>
      <c r="G190" s="95"/>
      <c r="H190" s="96"/>
    </row>
    <row r="191" ht="20.25" customHeight="1">
      <c r="D191" s="294" t="s">
        <v>39</v>
      </c>
      <c r="E191" s="295" t="str">
        <f t="array" ref="E191">IFERROR(INDEX('計測入力シート（ここのみ編集可）'!$AW$17:$AW$116,MATCH(A185&amp;B185,'計測入力シート（ここのみ編集可）'!$BO$17:$BO$116,0)),"")</f>
        <v/>
      </c>
      <c r="F191" s="296"/>
      <c r="G191" s="297" t="s">
        <v>110</v>
      </c>
      <c r="H191" s="298" t="str">
        <f t="array" ref="H191">IFERROR(INDEX('計測入力シート（ここのみ編集可）'!$AY$17:$AY$116,MATCH(A185&amp;B185,'計測入力シート（ここのみ編集可）'!$BO$17:$BO$116,0)),"")</f>
        <v/>
      </c>
    </row>
    <row r="192" ht="20.25" customHeight="1">
      <c r="D192" s="299" t="s">
        <v>42</v>
      </c>
      <c r="E192" s="300" t="str">
        <f t="array" ref="E192">IFERROR(INDEX('計測入力シート（ここのみ編集可）'!$AZ$17:$AZ$116,MATCH(A185&amp;B185,'計測入力シート（ここのみ編集可）'!$BO$17:$BO$116,0)),"")</f>
        <v/>
      </c>
      <c r="F192" s="116"/>
      <c r="G192" s="301" t="s">
        <v>111</v>
      </c>
      <c r="H192" s="302" t="str">
        <f t="array" ref="H192">IFERROR(INDEX('計測入力シート（ここのみ編集可）'!$BB$17:$BB$116,MATCH(A185&amp;B185,'計測入力シート（ここのみ編集可）'!$BO$17:$BO$116,0)),"")</f>
        <v/>
      </c>
    </row>
    <row r="193" ht="20.25" customHeight="1">
      <c r="D193" s="303" t="s">
        <v>112</v>
      </c>
      <c r="E193" s="304" t="str">
        <f t="array" ref="E193">IFERROR(INDEX('計測入力シート（ここのみ編集可）'!$BC$17:$BC$116,MATCH(A185&amp;B185,'計測入力シート（ここのみ編集可）'!$BO$17:$BO$116,0)),"")</f>
        <v/>
      </c>
      <c r="F193" s="305"/>
      <c r="G193" s="306" t="s">
        <v>25</v>
      </c>
      <c r="H193" s="307" t="str">
        <f t="array" ref="H193">IFERROR(INDEX('計測入力シート（ここのみ編集可）'!$BD$17:$BD$116,MATCH(A185&amp;B185,'計測入力シート（ここのみ編集可）'!$BO$17:$BO$116,0)),"")</f>
        <v/>
      </c>
    </row>
    <row r="194" ht="20.25" customHeight="1">
      <c r="D194" s="308"/>
    </row>
    <row r="195" ht="27.0" customHeight="1">
      <c r="A195" s="52" t="str">
        <f>A185</f>
        <v>C2</v>
      </c>
      <c r="B195" s="52">
        <f>B185+1</f>
        <v>20</v>
      </c>
      <c r="D195" s="271" t="s">
        <v>80</v>
      </c>
      <c r="E195" s="272" t="s">
        <v>81</v>
      </c>
      <c r="F195" s="272" t="s">
        <v>82</v>
      </c>
      <c r="G195" s="273" t="s">
        <v>49</v>
      </c>
      <c r="H195" s="274"/>
    </row>
    <row r="196" ht="27.0" customHeight="1">
      <c r="A196" s="86"/>
      <c r="B196" s="86"/>
      <c r="D196" s="275" t="str">
        <f t="array" ref="D196">IFERROR(INDEX('計測入力シート（ここのみ編集可）'!$BN$17:$BN$116,MATCH(A195&amp;B195,'計測入力シート（ここのみ編集可）'!$BO$17:$BO$116,0)),"")</f>
        <v/>
      </c>
      <c r="E196" s="276" t="str">
        <f t="array" ref="E196">IFERROR(INDEX('計測入力シート（ここのみ編集可）'!$BP$17:$BP$116,MATCH(A195&amp;B195,'計測入力シート（ここのみ編集可）'!$BO$17:$BO$116,0)),"")</f>
        <v/>
      </c>
      <c r="F196" s="277" t="str">
        <f t="array" ref="F196">IFERROR(INDEX('計測入力シート（ここのみ編集可）'!$BR$17:$BR$116,MATCH(A195&amp;B195,'計測入力シート（ここのみ編集可）'!$BO$17:$BO$116,0)),"")</f>
        <v/>
      </c>
      <c r="G196" s="278" t="str">
        <f t="array" ref="G196">IFERROR(INDEX('計測入力シート（ここのみ編集可）'!$BL$17:$BL$116,MATCH(A195&amp;B195,'計測入力シート（ここのみ編集可）'!$BO$17:$BO$116,0)),"")</f>
        <v/>
      </c>
      <c r="H196" s="279"/>
    </row>
    <row r="197" ht="27.0" customHeight="1">
      <c r="D197" s="280" t="s">
        <v>2</v>
      </c>
      <c r="E197" s="281" t="str">
        <f t="array" ref="E197">IFERROR(INDEX('計測入力シート（ここのみ編集可）'!$C$17:$C$116,MATCH(A195&amp;B195,'計測入力シート（ここのみ編集可）'!$BO$17:$BO$116,0)),"")</f>
        <v/>
      </c>
      <c r="F197" s="282" t="s">
        <v>17</v>
      </c>
      <c r="G197" s="283" t="str">
        <f t="array" ref="G197">IFERROR(INDEX('計測入力シート（ここのみ編集可）'!$D$17:$D$116,MATCH(A195&amp;B195,'計測入力シート（ここのみ編集可）'!$BO$17:$BO$116,0)),"")</f>
        <v/>
      </c>
      <c r="H197" s="284"/>
    </row>
    <row r="198" ht="27.0" customHeight="1">
      <c r="D198" s="285" t="s">
        <v>1</v>
      </c>
      <c r="E198" s="286" t="str">
        <f t="array" ref="E198">IFERROR(INDEX('計測入力シート（ここのみ編集可）'!$B$17:$B$116,MATCH(A195&amp;B195,'計測入力シート（ここのみ編集可）'!$BO$17:$BO$116,0)),"")</f>
        <v/>
      </c>
      <c r="F198" s="287" t="s">
        <v>18</v>
      </c>
      <c r="G198" s="288" t="str">
        <f t="array" ref="G198">IFERROR(INDEX('計測入力シート（ここのみ編集可）'!$E$17:$E$116,MATCH(A195&amp;B195,'計測入力シート（ここのみ編集可）'!$BO$17:$BO$116,0)),"")</f>
        <v/>
      </c>
      <c r="H198" s="289"/>
    </row>
    <row r="199" ht="24.75" customHeight="1">
      <c r="D199" s="290" t="s">
        <v>92</v>
      </c>
      <c r="E199" s="291" t="str">
        <f t="array" ref="E199">IFERROR(INDEX(#REF!,MATCH(A195&amp;B195,'計測入力シート（ここのみ編集可）'!$BO$17:$BO$116,0)),"")</f>
        <v/>
      </c>
      <c r="H199" s="232"/>
    </row>
    <row r="200" ht="52.5" customHeight="1">
      <c r="D200" s="292" t="s">
        <v>100</v>
      </c>
      <c r="E200" s="293" t="str">
        <f t="array" ref="E200">IFERROR(INDEX(#REF!,MATCH(A195&amp;B195,'計測入力シート（ここのみ編集可）'!$BO$17:$BO$116,0)),"")</f>
        <v/>
      </c>
      <c r="F200" s="95"/>
      <c r="G200" s="95"/>
      <c r="H200" s="96"/>
    </row>
    <row r="201" ht="20.25" customHeight="1">
      <c r="D201" s="294" t="s">
        <v>39</v>
      </c>
      <c r="E201" s="295" t="str">
        <f t="array" ref="E201">IFERROR(INDEX('計測入力シート（ここのみ編集可）'!$AW$17:$AW$116,MATCH(A195&amp;B195,'計測入力シート（ここのみ編集可）'!$BO$17:$BO$116,0)),"")</f>
        <v/>
      </c>
      <c r="F201" s="296"/>
      <c r="G201" s="297" t="s">
        <v>110</v>
      </c>
      <c r="H201" s="298" t="str">
        <f t="array" ref="H201">IFERROR(INDEX('計測入力シート（ここのみ編集可）'!$AY$17:$AY$116,MATCH(A195&amp;B195,'計測入力シート（ここのみ編集可）'!$BO$17:$BO$116,0)),"")</f>
        <v/>
      </c>
    </row>
    <row r="202" ht="20.25" customHeight="1">
      <c r="D202" s="299" t="s">
        <v>42</v>
      </c>
      <c r="E202" s="300" t="str">
        <f t="array" ref="E202">IFERROR(INDEX('計測入力シート（ここのみ編集可）'!$AZ$17:$AZ$116,MATCH(A195&amp;B195,'計測入力シート（ここのみ編集可）'!$BO$17:$BO$116,0)),"")</f>
        <v/>
      </c>
      <c r="F202" s="116"/>
      <c r="G202" s="301" t="s">
        <v>111</v>
      </c>
      <c r="H202" s="302" t="str">
        <f t="array" ref="H202">IFERROR(INDEX('計測入力シート（ここのみ編集可）'!$BB$17:$BB$116,MATCH(A195&amp;B195,'計測入力シート（ここのみ編集可）'!$BO$17:$BO$116,0)),"")</f>
        <v/>
      </c>
    </row>
    <row r="203" ht="20.25" customHeight="1">
      <c r="D203" s="303" t="s">
        <v>112</v>
      </c>
      <c r="E203" s="304" t="str">
        <f t="array" ref="E203">IFERROR(INDEX('計測入力シート（ここのみ編集可）'!$BC$17:$BC$116,MATCH(A195&amp;B195,'計測入力シート（ここのみ編集可）'!$BO$17:$BO$116,0)),"")</f>
        <v/>
      </c>
      <c r="F203" s="305"/>
      <c r="G203" s="306" t="s">
        <v>25</v>
      </c>
      <c r="H203" s="307" t="str">
        <f t="array" ref="H203">IFERROR(INDEX('計測入力シート（ここのみ編集可）'!$BD$17:$BD$116,MATCH(A195&amp;B195,'計測入力シート（ここのみ編集可）'!$BO$17:$BO$116,0)),"")</f>
        <v/>
      </c>
    </row>
    <row r="204" ht="20.25" customHeight="1">
      <c r="D204" s="308"/>
    </row>
    <row r="205" ht="27.0" customHeight="1">
      <c r="A205" s="52" t="str">
        <f>A195</f>
        <v>C2</v>
      </c>
      <c r="B205" s="52">
        <f>B195+1</f>
        <v>21</v>
      </c>
      <c r="D205" s="271" t="s">
        <v>80</v>
      </c>
      <c r="E205" s="272" t="s">
        <v>81</v>
      </c>
      <c r="F205" s="272" t="s">
        <v>82</v>
      </c>
      <c r="G205" s="273" t="s">
        <v>49</v>
      </c>
      <c r="H205" s="274"/>
    </row>
    <row r="206" ht="27.0" customHeight="1">
      <c r="A206" s="86"/>
      <c r="B206" s="86"/>
      <c r="D206" s="275" t="str">
        <f t="array" ref="D206">IFERROR(INDEX('計測入力シート（ここのみ編集可）'!$BN$17:$BN$116,MATCH(A205&amp;B205,'計測入力シート（ここのみ編集可）'!$BO$17:$BO$116,0)),"")</f>
        <v/>
      </c>
      <c r="E206" s="276" t="str">
        <f t="array" ref="E206">IFERROR(INDEX('計測入力シート（ここのみ編集可）'!$BP$17:$BP$116,MATCH(A205&amp;B205,'計測入力シート（ここのみ編集可）'!$BO$17:$BO$116,0)),"")</f>
        <v/>
      </c>
      <c r="F206" s="277" t="str">
        <f t="array" ref="F206">IFERROR(INDEX('計測入力シート（ここのみ編集可）'!$BR$17:$BR$116,MATCH(A205&amp;B205,'計測入力シート（ここのみ編集可）'!$BO$17:$BO$116,0)),"")</f>
        <v/>
      </c>
      <c r="G206" s="278" t="str">
        <f t="array" ref="G206">IFERROR(INDEX('計測入力シート（ここのみ編集可）'!$BL$17:$BL$116,MATCH(A205&amp;B205,'計測入力シート（ここのみ編集可）'!$BO$17:$BO$116,0)),"")</f>
        <v/>
      </c>
      <c r="H206" s="279"/>
    </row>
    <row r="207" ht="27.0" customHeight="1">
      <c r="D207" s="280" t="s">
        <v>2</v>
      </c>
      <c r="E207" s="281" t="str">
        <f t="array" ref="E207">IFERROR(INDEX('計測入力シート（ここのみ編集可）'!$C$17:$C$116,MATCH(A205&amp;B205,'計測入力シート（ここのみ編集可）'!$BO$17:$BO$116,0)),"")</f>
        <v/>
      </c>
      <c r="F207" s="282" t="s">
        <v>17</v>
      </c>
      <c r="G207" s="283" t="str">
        <f t="array" ref="G207">IFERROR(INDEX('計測入力シート（ここのみ編集可）'!$D$17:$D$116,MATCH(A205&amp;B205,'計測入力シート（ここのみ編集可）'!$BO$17:$BO$116,0)),"")</f>
        <v/>
      </c>
      <c r="H207" s="284"/>
    </row>
    <row r="208" ht="27.0" customHeight="1">
      <c r="D208" s="285" t="s">
        <v>1</v>
      </c>
      <c r="E208" s="286" t="str">
        <f t="array" ref="E208">IFERROR(INDEX('計測入力シート（ここのみ編集可）'!$B$17:$B$116,MATCH(A205&amp;B205,'計測入力シート（ここのみ編集可）'!$BO$17:$BO$116,0)),"")</f>
        <v/>
      </c>
      <c r="F208" s="287" t="s">
        <v>18</v>
      </c>
      <c r="G208" s="288" t="str">
        <f t="array" ref="G208">IFERROR(INDEX('計測入力シート（ここのみ編集可）'!$E$17:$E$116,MATCH(A205&amp;B205,'計測入力シート（ここのみ編集可）'!$BO$17:$BO$116,0)),"")</f>
        <v/>
      </c>
      <c r="H208" s="289"/>
    </row>
    <row r="209" ht="24.75" customHeight="1">
      <c r="D209" s="290" t="s">
        <v>92</v>
      </c>
      <c r="E209" s="291" t="str">
        <f t="array" ref="E209">IFERROR(INDEX(#REF!,MATCH(A205&amp;B205,'計測入力シート（ここのみ編集可）'!$BO$17:$BO$116,0)),"")</f>
        <v/>
      </c>
      <c r="H209" s="232"/>
    </row>
    <row r="210" ht="52.5" customHeight="1">
      <c r="D210" s="292" t="s">
        <v>100</v>
      </c>
      <c r="E210" s="293" t="str">
        <f t="array" ref="E210">IFERROR(INDEX(#REF!,MATCH(A205&amp;B205,'計測入力シート（ここのみ編集可）'!$BO$17:$BO$116,0)),"")</f>
        <v/>
      </c>
      <c r="F210" s="95"/>
      <c r="G210" s="95"/>
      <c r="H210" s="96"/>
    </row>
    <row r="211" ht="20.25" customHeight="1">
      <c r="D211" s="294" t="s">
        <v>39</v>
      </c>
      <c r="E211" s="295" t="str">
        <f t="array" ref="E211">IFERROR(INDEX('計測入力シート（ここのみ編集可）'!$AW$17:$AW$116,MATCH(A205&amp;B205,'計測入力シート（ここのみ編集可）'!$BO$17:$BO$116,0)),"")</f>
        <v/>
      </c>
      <c r="F211" s="296"/>
      <c r="G211" s="297" t="s">
        <v>110</v>
      </c>
      <c r="H211" s="298" t="str">
        <f t="array" ref="H211">IFERROR(INDEX('計測入力シート（ここのみ編集可）'!$AY$17:$AY$116,MATCH(A205&amp;B205,'計測入力シート（ここのみ編集可）'!$BO$17:$BO$116,0)),"")</f>
        <v/>
      </c>
    </row>
    <row r="212" ht="20.25" customHeight="1">
      <c r="D212" s="299" t="s">
        <v>42</v>
      </c>
      <c r="E212" s="300" t="str">
        <f t="array" ref="E212">IFERROR(INDEX('計測入力シート（ここのみ編集可）'!$AZ$17:$AZ$116,MATCH(A205&amp;B205,'計測入力シート（ここのみ編集可）'!$BO$17:$BO$116,0)),"")</f>
        <v/>
      </c>
      <c r="F212" s="116"/>
      <c r="G212" s="301" t="s">
        <v>111</v>
      </c>
      <c r="H212" s="302" t="str">
        <f t="array" ref="H212">IFERROR(INDEX('計測入力シート（ここのみ編集可）'!$BB$17:$BB$116,MATCH(A205&amp;B205,'計測入力シート（ここのみ編集可）'!$BO$17:$BO$116,0)),"")</f>
        <v/>
      </c>
    </row>
    <row r="213" ht="20.25" customHeight="1">
      <c r="D213" s="303" t="s">
        <v>112</v>
      </c>
      <c r="E213" s="304" t="str">
        <f t="array" ref="E213">IFERROR(INDEX('計測入力シート（ここのみ編集可）'!$BC$17:$BC$116,MATCH(A205&amp;B205,'計測入力シート（ここのみ編集可）'!$BO$17:$BO$116,0)),"")</f>
        <v/>
      </c>
      <c r="F213" s="305"/>
      <c r="G213" s="306" t="s">
        <v>25</v>
      </c>
      <c r="H213" s="307" t="str">
        <f t="array" ref="H213">IFERROR(INDEX('計測入力シート（ここのみ編集可）'!$BD$17:$BD$116,MATCH(A205&amp;B205,'計測入力シート（ここのみ編集可）'!$BO$17:$BO$116,0)),"")</f>
        <v/>
      </c>
    </row>
    <row r="214" ht="20.25" customHeight="1">
      <c r="D214" s="308"/>
    </row>
    <row r="215" ht="27.0" customHeight="1">
      <c r="A215" s="52" t="str">
        <f>A205</f>
        <v>C2</v>
      </c>
      <c r="B215" s="52">
        <f>B205+1</f>
        <v>22</v>
      </c>
      <c r="D215" s="271" t="s">
        <v>80</v>
      </c>
      <c r="E215" s="272" t="s">
        <v>81</v>
      </c>
      <c r="F215" s="272" t="s">
        <v>82</v>
      </c>
      <c r="G215" s="273" t="s">
        <v>49</v>
      </c>
      <c r="H215" s="274"/>
    </row>
    <row r="216" ht="27.0" customHeight="1">
      <c r="A216" s="86"/>
      <c r="B216" s="86"/>
      <c r="D216" s="275" t="str">
        <f t="array" ref="D216">IFERROR(INDEX('計測入力シート（ここのみ編集可）'!$BN$17:$BN$116,MATCH(A215&amp;B215,'計測入力シート（ここのみ編集可）'!$BO$17:$BO$116,0)),"")</f>
        <v/>
      </c>
      <c r="E216" s="276" t="str">
        <f t="array" ref="E216">IFERROR(INDEX('計測入力シート（ここのみ編集可）'!$BP$17:$BP$116,MATCH(A215&amp;B215,'計測入力シート（ここのみ編集可）'!$BO$17:$BO$116,0)),"")</f>
        <v/>
      </c>
      <c r="F216" s="277" t="str">
        <f t="array" ref="F216">IFERROR(INDEX('計測入力シート（ここのみ編集可）'!$BR$17:$BR$116,MATCH(A215&amp;B215,'計測入力シート（ここのみ編集可）'!$BO$17:$BO$116,0)),"")</f>
        <v/>
      </c>
      <c r="G216" s="278" t="str">
        <f t="array" ref="G216">IFERROR(INDEX('計測入力シート（ここのみ編集可）'!$BL$17:$BL$116,MATCH(A215&amp;B215,'計測入力シート（ここのみ編集可）'!$BO$17:$BO$116,0)),"")</f>
        <v/>
      </c>
      <c r="H216" s="279"/>
    </row>
    <row r="217" ht="27.0" customHeight="1">
      <c r="D217" s="280" t="s">
        <v>2</v>
      </c>
      <c r="E217" s="281" t="str">
        <f t="array" ref="E217">IFERROR(INDEX('計測入力シート（ここのみ編集可）'!$C$17:$C$116,MATCH(A215&amp;B215,'計測入力シート（ここのみ編集可）'!$BO$17:$BO$116,0)),"")</f>
        <v/>
      </c>
      <c r="F217" s="282" t="s">
        <v>17</v>
      </c>
      <c r="G217" s="283" t="str">
        <f t="array" ref="G217">IFERROR(INDEX('計測入力シート（ここのみ編集可）'!$D$17:$D$116,MATCH(A215&amp;B215,'計測入力シート（ここのみ編集可）'!$BO$17:$BO$116,0)),"")</f>
        <v/>
      </c>
      <c r="H217" s="284"/>
    </row>
    <row r="218" ht="27.0" customHeight="1">
      <c r="D218" s="285" t="s">
        <v>1</v>
      </c>
      <c r="E218" s="286" t="str">
        <f t="array" ref="E218">IFERROR(INDEX('計測入力シート（ここのみ編集可）'!$B$17:$B$116,MATCH(A215&amp;B215,'計測入力シート（ここのみ編集可）'!$BO$17:$BO$116,0)),"")</f>
        <v/>
      </c>
      <c r="F218" s="287" t="s">
        <v>18</v>
      </c>
      <c r="G218" s="288" t="str">
        <f t="array" ref="G218">IFERROR(INDEX('計測入力シート（ここのみ編集可）'!$E$17:$E$116,MATCH(A215&amp;B215,'計測入力シート（ここのみ編集可）'!$BO$17:$BO$116,0)),"")</f>
        <v/>
      </c>
      <c r="H218" s="289"/>
    </row>
    <row r="219" ht="24.75" customHeight="1">
      <c r="D219" s="290" t="s">
        <v>92</v>
      </c>
      <c r="E219" s="291" t="str">
        <f t="array" ref="E219">IFERROR(INDEX(#REF!,MATCH(A215&amp;B215,'計測入力シート（ここのみ編集可）'!$BO$17:$BO$116,0)),"")</f>
        <v/>
      </c>
      <c r="H219" s="232"/>
    </row>
    <row r="220" ht="52.5" customHeight="1">
      <c r="D220" s="292" t="s">
        <v>100</v>
      </c>
      <c r="E220" s="293" t="str">
        <f t="array" ref="E220">IFERROR(INDEX(#REF!,MATCH(A215&amp;B215,'計測入力シート（ここのみ編集可）'!$BO$17:$BO$116,0)),"")</f>
        <v/>
      </c>
      <c r="F220" s="95"/>
      <c r="G220" s="95"/>
      <c r="H220" s="96"/>
    </row>
    <row r="221" ht="20.25" customHeight="1">
      <c r="D221" s="294" t="s">
        <v>39</v>
      </c>
      <c r="E221" s="295" t="str">
        <f t="array" ref="E221">IFERROR(INDEX('計測入力シート（ここのみ編集可）'!$AW$17:$AW$116,MATCH(A215&amp;B215,'計測入力シート（ここのみ編集可）'!$BO$17:$BO$116,0)),"")</f>
        <v/>
      </c>
      <c r="F221" s="296"/>
      <c r="G221" s="297" t="s">
        <v>110</v>
      </c>
      <c r="H221" s="298" t="str">
        <f t="array" ref="H221">IFERROR(INDEX('計測入力シート（ここのみ編集可）'!$AY$17:$AY$116,MATCH(A215&amp;B215,'計測入力シート（ここのみ編集可）'!$BO$17:$BO$116,0)),"")</f>
        <v/>
      </c>
    </row>
    <row r="222" ht="20.25" customHeight="1">
      <c r="D222" s="299" t="s">
        <v>42</v>
      </c>
      <c r="E222" s="300" t="str">
        <f t="array" ref="E222">IFERROR(INDEX('計測入力シート（ここのみ編集可）'!$AZ$17:$AZ$116,MATCH(A215&amp;B215,'計測入力シート（ここのみ編集可）'!$BO$17:$BO$116,0)),"")</f>
        <v/>
      </c>
      <c r="F222" s="116"/>
      <c r="G222" s="301" t="s">
        <v>111</v>
      </c>
      <c r="H222" s="302" t="str">
        <f t="array" ref="H222">IFERROR(INDEX('計測入力シート（ここのみ編集可）'!$BB$17:$BB$116,MATCH(A215&amp;B215,'計測入力シート（ここのみ編集可）'!$BO$17:$BO$116,0)),"")</f>
        <v/>
      </c>
    </row>
    <row r="223" ht="20.25" customHeight="1">
      <c r="D223" s="303" t="s">
        <v>112</v>
      </c>
      <c r="E223" s="304" t="str">
        <f t="array" ref="E223">IFERROR(INDEX('計測入力シート（ここのみ編集可）'!$BC$17:$BC$116,MATCH(A215&amp;B215,'計測入力シート（ここのみ編集可）'!$BO$17:$BO$116,0)),"")</f>
        <v/>
      </c>
      <c r="F223" s="305"/>
      <c r="G223" s="306" t="s">
        <v>25</v>
      </c>
      <c r="H223" s="307" t="str">
        <f t="array" ref="H223">IFERROR(INDEX('計測入力シート（ここのみ編集可）'!$BD$17:$BD$116,MATCH(A215&amp;B215,'計測入力シート（ここのみ編集可）'!$BO$17:$BO$116,0)),"")</f>
        <v/>
      </c>
    </row>
    <row r="224" ht="20.25" customHeight="1">
      <c r="D224" s="308"/>
    </row>
    <row r="225" ht="27.0" customHeight="1">
      <c r="A225" s="52" t="str">
        <f>A215</f>
        <v>C2</v>
      </c>
      <c r="B225" s="52">
        <f>B215+1</f>
        <v>23</v>
      </c>
      <c r="D225" s="271" t="s">
        <v>80</v>
      </c>
      <c r="E225" s="272" t="s">
        <v>81</v>
      </c>
      <c r="F225" s="272" t="s">
        <v>82</v>
      </c>
      <c r="G225" s="273" t="s">
        <v>49</v>
      </c>
      <c r="H225" s="274"/>
    </row>
    <row r="226" ht="27.0" customHeight="1">
      <c r="A226" s="86"/>
      <c r="B226" s="86"/>
      <c r="D226" s="275" t="str">
        <f t="array" ref="D226">IFERROR(INDEX('計測入力シート（ここのみ編集可）'!$BN$17:$BN$116,MATCH(A225&amp;B225,'計測入力シート（ここのみ編集可）'!$BO$17:$BO$116,0)),"")</f>
        <v/>
      </c>
      <c r="E226" s="276" t="str">
        <f t="array" ref="E226">IFERROR(INDEX('計測入力シート（ここのみ編集可）'!$BP$17:$BP$116,MATCH(A225&amp;B225,'計測入力シート（ここのみ編集可）'!$BO$17:$BO$116,0)),"")</f>
        <v/>
      </c>
      <c r="F226" s="277" t="str">
        <f t="array" ref="F226">IFERROR(INDEX('計測入力シート（ここのみ編集可）'!$BR$17:$BR$116,MATCH(A225&amp;B225,'計測入力シート（ここのみ編集可）'!$BO$17:$BO$116,0)),"")</f>
        <v/>
      </c>
      <c r="G226" s="278" t="str">
        <f t="array" ref="G226">IFERROR(INDEX('計測入力シート（ここのみ編集可）'!$BL$17:$BL$116,MATCH(A225&amp;B225,'計測入力シート（ここのみ編集可）'!$BO$17:$BO$116,0)),"")</f>
        <v/>
      </c>
      <c r="H226" s="279"/>
    </row>
    <row r="227" ht="27.0" customHeight="1">
      <c r="D227" s="280" t="s">
        <v>2</v>
      </c>
      <c r="E227" s="281" t="str">
        <f t="array" ref="E227">IFERROR(INDEX('計測入力シート（ここのみ編集可）'!$C$17:$C$116,MATCH(A225&amp;B225,'計測入力シート（ここのみ編集可）'!$BO$17:$BO$116,0)),"")</f>
        <v/>
      </c>
      <c r="F227" s="282" t="s">
        <v>17</v>
      </c>
      <c r="G227" s="283" t="str">
        <f t="array" ref="G227">IFERROR(INDEX('計測入力シート（ここのみ編集可）'!$D$17:$D$116,MATCH(A225&amp;B225,'計測入力シート（ここのみ編集可）'!$BO$17:$BO$116,0)),"")</f>
        <v/>
      </c>
      <c r="H227" s="284"/>
    </row>
    <row r="228" ht="27.0" customHeight="1">
      <c r="D228" s="285" t="s">
        <v>1</v>
      </c>
      <c r="E228" s="286" t="str">
        <f t="array" ref="E228">IFERROR(INDEX('計測入力シート（ここのみ編集可）'!$B$17:$B$116,MATCH(A225&amp;B225,'計測入力シート（ここのみ編集可）'!$BO$17:$BO$116,0)),"")</f>
        <v/>
      </c>
      <c r="F228" s="287" t="s">
        <v>18</v>
      </c>
      <c r="G228" s="288" t="str">
        <f t="array" ref="G228">IFERROR(INDEX('計測入力シート（ここのみ編集可）'!$E$17:$E$116,MATCH(A225&amp;B225,'計測入力シート（ここのみ編集可）'!$BO$17:$BO$116,0)),"")</f>
        <v/>
      </c>
      <c r="H228" s="289"/>
    </row>
    <row r="229" ht="24.75" customHeight="1">
      <c r="D229" s="290" t="s">
        <v>92</v>
      </c>
      <c r="E229" s="291" t="str">
        <f t="array" ref="E229">IFERROR(INDEX(#REF!,MATCH(A225&amp;B225,'計測入力シート（ここのみ編集可）'!$BO$17:$BO$116,0)),"")</f>
        <v/>
      </c>
      <c r="H229" s="232"/>
    </row>
    <row r="230" ht="52.5" customHeight="1">
      <c r="D230" s="292" t="s">
        <v>100</v>
      </c>
      <c r="E230" s="293" t="str">
        <f t="array" ref="E230">IFERROR(INDEX(#REF!,MATCH(A225&amp;B225,'計測入力シート（ここのみ編集可）'!$BO$17:$BO$116,0)),"")</f>
        <v/>
      </c>
      <c r="F230" s="95"/>
      <c r="G230" s="95"/>
      <c r="H230" s="96"/>
    </row>
    <row r="231" ht="20.25" customHeight="1">
      <c r="D231" s="294" t="s">
        <v>39</v>
      </c>
      <c r="E231" s="295" t="str">
        <f t="array" ref="E231">IFERROR(INDEX('計測入力シート（ここのみ編集可）'!$AW$17:$AW$116,MATCH(A225&amp;B225,'計測入力シート（ここのみ編集可）'!$BO$17:$BO$116,0)),"")</f>
        <v/>
      </c>
      <c r="F231" s="296"/>
      <c r="G231" s="297" t="s">
        <v>110</v>
      </c>
      <c r="H231" s="298" t="str">
        <f t="array" ref="H231">IFERROR(INDEX('計測入力シート（ここのみ編集可）'!$AY$17:$AY$116,MATCH(A225&amp;B225,'計測入力シート（ここのみ編集可）'!$BO$17:$BO$116,0)),"")</f>
        <v/>
      </c>
    </row>
    <row r="232" ht="20.25" customHeight="1">
      <c r="D232" s="299" t="s">
        <v>42</v>
      </c>
      <c r="E232" s="300" t="str">
        <f t="array" ref="E232">IFERROR(INDEX('計測入力シート（ここのみ編集可）'!$AZ$17:$AZ$116,MATCH(A225&amp;B225,'計測入力シート（ここのみ編集可）'!$BO$17:$BO$116,0)),"")</f>
        <v/>
      </c>
      <c r="F232" s="116"/>
      <c r="G232" s="301" t="s">
        <v>111</v>
      </c>
      <c r="H232" s="302" t="str">
        <f t="array" ref="H232">IFERROR(INDEX('計測入力シート（ここのみ編集可）'!$BB$17:$BB$116,MATCH(A225&amp;B225,'計測入力シート（ここのみ編集可）'!$BO$17:$BO$116,0)),"")</f>
        <v/>
      </c>
    </row>
    <row r="233" ht="20.25" customHeight="1">
      <c r="D233" s="303" t="s">
        <v>112</v>
      </c>
      <c r="E233" s="304" t="str">
        <f t="array" ref="E233">IFERROR(INDEX('計測入力シート（ここのみ編集可）'!$BC$17:$BC$116,MATCH(A225&amp;B225,'計測入力シート（ここのみ編集可）'!$BO$17:$BO$116,0)),"")</f>
        <v/>
      </c>
      <c r="F233" s="305"/>
      <c r="G233" s="306" t="s">
        <v>25</v>
      </c>
      <c r="H233" s="307" t="str">
        <f t="array" ref="H233">IFERROR(INDEX('計測入力シート（ここのみ編集可）'!$BD$17:$BD$116,MATCH(A225&amp;B225,'計測入力シート（ここのみ編集可）'!$BO$17:$BO$116,0)),"")</f>
        <v/>
      </c>
    </row>
    <row r="234" ht="20.25" customHeight="1">
      <c r="D234" s="308"/>
    </row>
    <row r="235" ht="27.0" customHeight="1">
      <c r="A235" s="52" t="str">
        <f>A225</f>
        <v>C2</v>
      </c>
      <c r="B235" s="52">
        <f>B225+1</f>
        <v>24</v>
      </c>
      <c r="D235" s="271" t="s">
        <v>80</v>
      </c>
      <c r="E235" s="272" t="s">
        <v>81</v>
      </c>
      <c r="F235" s="272" t="s">
        <v>82</v>
      </c>
      <c r="G235" s="273" t="s">
        <v>49</v>
      </c>
      <c r="H235" s="274"/>
    </row>
    <row r="236" ht="27.0" customHeight="1">
      <c r="A236" s="86"/>
      <c r="B236" s="86"/>
      <c r="D236" s="275" t="str">
        <f t="array" ref="D236">IFERROR(INDEX('計測入力シート（ここのみ編集可）'!$BN$17:$BN$116,MATCH(A235&amp;B235,'計測入力シート（ここのみ編集可）'!$BO$17:$BO$116,0)),"")</f>
        <v/>
      </c>
      <c r="E236" s="276" t="str">
        <f t="array" ref="E236">IFERROR(INDEX('計測入力シート（ここのみ編集可）'!$BP$17:$BP$116,MATCH(A235&amp;B235,'計測入力シート（ここのみ編集可）'!$BO$17:$BO$116,0)),"")</f>
        <v/>
      </c>
      <c r="F236" s="277" t="str">
        <f t="array" ref="F236">IFERROR(INDEX('計測入力シート（ここのみ編集可）'!$BR$17:$BR$116,MATCH(A235&amp;B235,'計測入力シート（ここのみ編集可）'!$BO$17:$BO$116,0)),"")</f>
        <v/>
      </c>
      <c r="G236" s="278" t="str">
        <f t="array" ref="G236">IFERROR(INDEX('計測入力シート（ここのみ編集可）'!$BL$17:$BL$116,MATCH(A235&amp;B235,'計測入力シート（ここのみ編集可）'!$BO$17:$BO$116,0)),"")</f>
        <v/>
      </c>
      <c r="H236" s="279"/>
    </row>
    <row r="237" ht="27.0" customHeight="1">
      <c r="D237" s="280" t="s">
        <v>2</v>
      </c>
      <c r="E237" s="281" t="str">
        <f t="array" ref="E237">IFERROR(INDEX('計測入力シート（ここのみ編集可）'!$C$17:$C$116,MATCH(A235&amp;B235,'計測入力シート（ここのみ編集可）'!$BO$17:$BO$116,0)),"")</f>
        <v/>
      </c>
      <c r="F237" s="282" t="s">
        <v>17</v>
      </c>
      <c r="G237" s="283" t="str">
        <f t="array" ref="G237">IFERROR(INDEX('計測入力シート（ここのみ編集可）'!$D$17:$D$116,MATCH(A235&amp;B235,'計測入力シート（ここのみ編集可）'!$BO$17:$BO$116,0)),"")</f>
        <v/>
      </c>
      <c r="H237" s="284"/>
    </row>
    <row r="238" ht="27.0" customHeight="1">
      <c r="D238" s="285" t="s">
        <v>1</v>
      </c>
      <c r="E238" s="286" t="str">
        <f t="array" ref="E238">IFERROR(INDEX('計測入力シート（ここのみ編集可）'!$B$17:$B$116,MATCH(A235&amp;B235,'計測入力シート（ここのみ編集可）'!$BO$17:$BO$116,0)),"")</f>
        <v/>
      </c>
      <c r="F238" s="287" t="s">
        <v>18</v>
      </c>
      <c r="G238" s="288" t="str">
        <f t="array" ref="G238">IFERROR(INDEX('計測入力シート（ここのみ編集可）'!$E$17:$E$116,MATCH(A235&amp;B235,'計測入力シート（ここのみ編集可）'!$BO$17:$BO$116,0)),"")</f>
        <v/>
      </c>
      <c r="H238" s="289"/>
    </row>
    <row r="239" ht="24.75" customHeight="1">
      <c r="D239" s="290" t="s">
        <v>92</v>
      </c>
      <c r="E239" s="291" t="str">
        <f t="array" ref="E239">IFERROR(INDEX(#REF!,MATCH(A235&amp;B235,'計測入力シート（ここのみ編集可）'!$BO$17:$BO$116,0)),"")</f>
        <v/>
      </c>
      <c r="H239" s="232"/>
    </row>
    <row r="240" ht="52.5" customHeight="1">
      <c r="D240" s="292" t="s">
        <v>100</v>
      </c>
      <c r="E240" s="293" t="str">
        <f t="array" ref="E240">IFERROR(INDEX(#REF!,MATCH(A235&amp;B235,'計測入力シート（ここのみ編集可）'!$BO$17:$BO$116,0)),"")</f>
        <v/>
      </c>
      <c r="F240" s="95"/>
      <c r="G240" s="95"/>
      <c r="H240" s="96"/>
    </row>
    <row r="241" ht="20.25" customHeight="1">
      <c r="D241" s="294" t="s">
        <v>39</v>
      </c>
      <c r="E241" s="295" t="str">
        <f t="array" ref="E241">IFERROR(INDEX('計測入力シート（ここのみ編集可）'!$AW$17:$AW$116,MATCH(A235&amp;B235,'計測入力シート（ここのみ編集可）'!$BO$17:$BO$116,0)),"")</f>
        <v/>
      </c>
      <c r="F241" s="296"/>
      <c r="G241" s="297" t="s">
        <v>110</v>
      </c>
      <c r="H241" s="298" t="str">
        <f t="array" ref="H241">IFERROR(INDEX('計測入力シート（ここのみ編集可）'!$AY$17:$AY$116,MATCH(A235&amp;B235,'計測入力シート（ここのみ編集可）'!$BO$17:$BO$116,0)),"")</f>
        <v/>
      </c>
    </row>
    <row r="242" ht="20.25" customHeight="1">
      <c r="D242" s="299" t="s">
        <v>42</v>
      </c>
      <c r="E242" s="300" t="str">
        <f t="array" ref="E242">IFERROR(INDEX('計測入力シート（ここのみ編集可）'!$AZ$17:$AZ$116,MATCH(A235&amp;B235,'計測入力シート（ここのみ編集可）'!$BO$17:$BO$116,0)),"")</f>
        <v/>
      </c>
      <c r="F242" s="116"/>
      <c r="G242" s="301" t="s">
        <v>111</v>
      </c>
      <c r="H242" s="302" t="str">
        <f t="array" ref="H242">IFERROR(INDEX('計測入力シート（ここのみ編集可）'!$BB$17:$BB$116,MATCH(A235&amp;B235,'計測入力シート（ここのみ編集可）'!$BO$17:$BO$116,0)),"")</f>
        <v/>
      </c>
    </row>
    <row r="243" ht="20.25" customHeight="1">
      <c r="D243" s="303" t="s">
        <v>112</v>
      </c>
      <c r="E243" s="304" t="str">
        <f t="array" ref="E243">IFERROR(INDEX('計測入力シート（ここのみ編集可）'!$BC$17:$BC$116,MATCH(A235&amp;B235,'計測入力シート（ここのみ編集可）'!$BO$17:$BO$116,0)),"")</f>
        <v/>
      </c>
      <c r="F243" s="305"/>
      <c r="G243" s="306" t="s">
        <v>25</v>
      </c>
      <c r="H243" s="307" t="str">
        <f t="array" ref="H243">IFERROR(INDEX('計測入力シート（ここのみ編集可）'!$BD$17:$BD$116,MATCH(A235&amp;B235,'計測入力シート（ここのみ編集可）'!$BO$17:$BO$116,0)),"")</f>
        <v/>
      </c>
    </row>
    <row r="244" ht="20.25" customHeight="1">
      <c r="D244" s="308"/>
    </row>
    <row r="245" ht="27.0" customHeight="1">
      <c r="A245" s="52" t="str">
        <f>A235</f>
        <v>C2</v>
      </c>
      <c r="B245" s="52">
        <f>B235+1</f>
        <v>25</v>
      </c>
      <c r="D245" s="271" t="s">
        <v>80</v>
      </c>
      <c r="E245" s="272" t="s">
        <v>81</v>
      </c>
      <c r="F245" s="272" t="s">
        <v>82</v>
      </c>
      <c r="G245" s="273" t="s">
        <v>49</v>
      </c>
      <c r="H245" s="274"/>
    </row>
    <row r="246" ht="27.0" customHeight="1">
      <c r="A246" s="86"/>
      <c r="B246" s="86"/>
      <c r="D246" s="275" t="str">
        <f t="array" ref="D246">IFERROR(INDEX('計測入力シート（ここのみ編集可）'!$BN$17:$BN$116,MATCH(A245&amp;B245,'計測入力シート（ここのみ編集可）'!$BO$17:$BO$116,0)),"")</f>
        <v/>
      </c>
      <c r="E246" s="276" t="str">
        <f t="array" ref="E246">IFERROR(INDEX('計測入力シート（ここのみ編集可）'!$BP$17:$BP$116,MATCH(A245&amp;B245,'計測入力シート（ここのみ編集可）'!$BO$17:$BO$116,0)),"")</f>
        <v/>
      </c>
      <c r="F246" s="277" t="str">
        <f t="array" ref="F246">IFERROR(INDEX('計測入力シート（ここのみ編集可）'!$BR$17:$BR$116,MATCH(A245&amp;B245,'計測入力シート（ここのみ編集可）'!$BO$17:$BO$116,0)),"")</f>
        <v/>
      </c>
      <c r="G246" s="278" t="str">
        <f t="array" ref="G246">IFERROR(INDEX('計測入力シート（ここのみ編集可）'!$BL$17:$BL$116,MATCH(A245&amp;B245,'計測入力シート（ここのみ編集可）'!$BO$17:$BO$116,0)),"")</f>
        <v/>
      </c>
      <c r="H246" s="279"/>
    </row>
    <row r="247" ht="27.0" customHeight="1">
      <c r="D247" s="280" t="s">
        <v>2</v>
      </c>
      <c r="E247" s="281" t="str">
        <f t="array" ref="E247">IFERROR(INDEX('計測入力シート（ここのみ編集可）'!$C$17:$C$116,MATCH(A245&amp;B245,'計測入力シート（ここのみ編集可）'!$BO$17:$BO$116,0)),"")</f>
        <v/>
      </c>
      <c r="F247" s="282" t="s">
        <v>17</v>
      </c>
      <c r="G247" s="283" t="str">
        <f t="array" ref="G247">IFERROR(INDEX('計測入力シート（ここのみ編集可）'!$D$17:$D$116,MATCH(A245&amp;B245,'計測入力シート（ここのみ編集可）'!$BO$17:$BO$116,0)),"")</f>
        <v/>
      </c>
      <c r="H247" s="284"/>
    </row>
    <row r="248" ht="27.0" customHeight="1">
      <c r="D248" s="285" t="s">
        <v>1</v>
      </c>
      <c r="E248" s="286" t="str">
        <f t="array" ref="E248">IFERROR(INDEX('計測入力シート（ここのみ編集可）'!$B$17:$B$116,MATCH(A245&amp;B245,'計測入力シート（ここのみ編集可）'!$BO$17:$BO$116,0)),"")</f>
        <v/>
      </c>
      <c r="F248" s="287" t="s">
        <v>18</v>
      </c>
      <c r="G248" s="288" t="str">
        <f t="array" ref="G248">IFERROR(INDEX('計測入力シート（ここのみ編集可）'!$E$17:$E$116,MATCH(A245&amp;B245,'計測入力シート（ここのみ編集可）'!$BO$17:$BO$116,0)),"")</f>
        <v/>
      </c>
      <c r="H248" s="289"/>
    </row>
    <row r="249" ht="24.75" customHeight="1">
      <c r="D249" s="290" t="s">
        <v>92</v>
      </c>
      <c r="E249" s="291" t="str">
        <f t="array" ref="E249">IFERROR(INDEX(#REF!,MATCH(A245&amp;B245,'計測入力シート（ここのみ編集可）'!$BO$17:$BO$116,0)),"")</f>
        <v/>
      </c>
      <c r="H249" s="232"/>
    </row>
    <row r="250" ht="52.5" customHeight="1">
      <c r="D250" s="292" t="s">
        <v>100</v>
      </c>
      <c r="E250" s="293" t="str">
        <f t="array" ref="E250">IFERROR(INDEX(#REF!,MATCH(A245&amp;B245,'計測入力シート（ここのみ編集可）'!$BO$17:$BO$116,0)),"")</f>
        <v/>
      </c>
      <c r="F250" s="95"/>
      <c r="G250" s="95"/>
      <c r="H250" s="96"/>
    </row>
    <row r="251" ht="20.25" customHeight="1">
      <c r="D251" s="294" t="s">
        <v>39</v>
      </c>
      <c r="E251" s="295" t="str">
        <f t="array" ref="E251">IFERROR(INDEX('計測入力シート（ここのみ編集可）'!$AW$17:$AW$116,MATCH(A245&amp;B245,'計測入力シート（ここのみ編集可）'!$BO$17:$BO$116,0)),"")</f>
        <v/>
      </c>
      <c r="F251" s="296"/>
      <c r="G251" s="297" t="s">
        <v>110</v>
      </c>
      <c r="H251" s="298" t="str">
        <f t="array" ref="H251">IFERROR(INDEX('計測入力シート（ここのみ編集可）'!$AY$17:$AY$116,MATCH(A245&amp;B245,'計測入力シート（ここのみ編集可）'!$BO$17:$BO$116,0)),"")</f>
        <v/>
      </c>
    </row>
    <row r="252" ht="20.25" customHeight="1">
      <c r="D252" s="299" t="s">
        <v>42</v>
      </c>
      <c r="E252" s="300" t="str">
        <f t="array" ref="E252">IFERROR(INDEX('計測入力シート（ここのみ編集可）'!$AZ$17:$AZ$116,MATCH(A245&amp;B245,'計測入力シート（ここのみ編集可）'!$BO$17:$BO$116,0)),"")</f>
        <v/>
      </c>
      <c r="F252" s="116"/>
      <c r="G252" s="301" t="s">
        <v>111</v>
      </c>
      <c r="H252" s="302" t="str">
        <f t="array" ref="H252">IFERROR(INDEX('計測入力シート（ここのみ編集可）'!$BB$17:$BB$116,MATCH(A245&amp;B245,'計測入力シート（ここのみ編集可）'!$BO$17:$BO$116,0)),"")</f>
        <v/>
      </c>
    </row>
    <row r="253" ht="20.25" customHeight="1">
      <c r="D253" s="303" t="s">
        <v>112</v>
      </c>
      <c r="E253" s="304" t="str">
        <f t="array" ref="E253">IFERROR(INDEX('計測入力シート（ここのみ編集可）'!$BC$17:$BC$116,MATCH(A245&amp;B245,'計測入力シート（ここのみ編集可）'!$BO$17:$BO$116,0)),"")</f>
        <v/>
      </c>
      <c r="F253" s="305"/>
      <c r="G253" s="306" t="s">
        <v>25</v>
      </c>
      <c r="H253" s="307" t="str">
        <f t="array" ref="H253">IFERROR(INDEX('計測入力シート（ここのみ編集可）'!$BD$17:$BD$116,MATCH(A245&amp;B245,'計測入力シート（ここのみ編集可）'!$BO$17:$BO$116,0)),"")</f>
        <v/>
      </c>
    </row>
    <row r="254" ht="20.25" customHeight="1">
      <c r="D254" s="308"/>
    </row>
    <row r="255" ht="27.0" customHeight="1">
      <c r="A255" s="52" t="str">
        <f>A245</f>
        <v>C2</v>
      </c>
      <c r="B255" s="52">
        <f>B245+1</f>
        <v>26</v>
      </c>
      <c r="D255" s="271" t="s">
        <v>80</v>
      </c>
      <c r="E255" s="272" t="s">
        <v>81</v>
      </c>
      <c r="F255" s="272" t="s">
        <v>82</v>
      </c>
      <c r="G255" s="273" t="s">
        <v>49</v>
      </c>
      <c r="H255" s="274"/>
    </row>
    <row r="256" ht="27.0" customHeight="1">
      <c r="A256" s="86"/>
      <c r="B256" s="86"/>
      <c r="D256" s="275" t="str">
        <f t="array" ref="D256">IFERROR(INDEX('計測入力シート（ここのみ編集可）'!$BN$17:$BN$116,MATCH(A255&amp;B255,'計測入力シート（ここのみ編集可）'!$BO$17:$BO$116,0)),"")</f>
        <v/>
      </c>
      <c r="E256" s="276" t="str">
        <f t="array" ref="E256">IFERROR(INDEX('計測入力シート（ここのみ編集可）'!$BP$17:$BP$116,MATCH(A255&amp;B255,'計測入力シート（ここのみ編集可）'!$BO$17:$BO$116,0)),"")</f>
        <v/>
      </c>
      <c r="F256" s="277" t="str">
        <f t="array" ref="F256">IFERROR(INDEX('計測入力シート（ここのみ編集可）'!$BR$17:$BR$116,MATCH(A255&amp;B255,'計測入力シート（ここのみ編集可）'!$BO$17:$BO$116,0)),"")</f>
        <v/>
      </c>
      <c r="G256" s="278" t="str">
        <f t="array" ref="G256">IFERROR(INDEX('計測入力シート（ここのみ編集可）'!$BL$17:$BL$116,MATCH(A255&amp;B255,'計測入力シート（ここのみ編集可）'!$BO$17:$BO$116,0)),"")</f>
        <v/>
      </c>
      <c r="H256" s="279"/>
    </row>
    <row r="257" ht="27.0" customHeight="1">
      <c r="D257" s="280" t="s">
        <v>2</v>
      </c>
      <c r="E257" s="281" t="str">
        <f t="array" ref="E257">IFERROR(INDEX('計測入力シート（ここのみ編集可）'!$C$17:$C$116,MATCH(A255&amp;B255,'計測入力シート（ここのみ編集可）'!$BO$17:$BO$116,0)),"")</f>
        <v/>
      </c>
      <c r="F257" s="282" t="s">
        <v>17</v>
      </c>
      <c r="G257" s="283" t="str">
        <f t="array" ref="G257">IFERROR(INDEX('計測入力シート（ここのみ編集可）'!$D$17:$D$116,MATCH(A255&amp;B255,'計測入力シート（ここのみ編集可）'!$BO$17:$BO$116,0)),"")</f>
        <v/>
      </c>
      <c r="H257" s="284"/>
    </row>
    <row r="258" ht="27.0" customHeight="1">
      <c r="D258" s="285" t="s">
        <v>1</v>
      </c>
      <c r="E258" s="286" t="str">
        <f t="array" ref="E258">IFERROR(INDEX('計測入力シート（ここのみ編集可）'!$B$17:$B$116,MATCH(A255&amp;B255,'計測入力シート（ここのみ編集可）'!$BO$17:$BO$116,0)),"")</f>
        <v/>
      </c>
      <c r="F258" s="287" t="s">
        <v>18</v>
      </c>
      <c r="G258" s="288" t="str">
        <f t="array" ref="G258">IFERROR(INDEX('計測入力シート（ここのみ編集可）'!$E$17:$E$116,MATCH(A255&amp;B255,'計測入力シート（ここのみ編集可）'!$BO$17:$BO$116,0)),"")</f>
        <v/>
      </c>
      <c r="H258" s="289"/>
    </row>
    <row r="259" ht="24.75" customHeight="1">
      <c r="D259" s="290" t="s">
        <v>92</v>
      </c>
      <c r="E259" s="291" t="str">
        <f t="array" ref="E259">IFERROR(INDEX(#REF!,MATCH(A255&amp;B255,'計測入力シート（ここのみ編集可）'!$BO$17:$BO$116,0)),"")</f>
        <v/>
      </c>
      <c r="H259" s="232"/>
    </row>
    <row r="260" ht="52.5" customHeight="1">
      <c r="D260" s="292" t="s">
        <v>100</v>
      </c>
      <c r="E260" s="293" t="str">
        <f t="array" ref="E260">IFERROR(INDEX(#REF!,MATCH(A255&amp;B255,'計測入力シート（ここのみ編集可）'!$BO$17:$BO$116,0)),"")</f>
        <v/>
      </c>
      <c r="F260" s="95"/>
      <c r="G260" s="95"/>
      <c r="H260" s="96"/>
    </row>
    <row r="261" ht="20.25" customHeight="1">
      <c r="D261" s="294" t="s">
        <v>39</v>
      </c>
      <c r="E261" s="295" t="str">
        <f t="array" ref="E261">IFERROR(INDEX('計測入力シート（ここのみ編集可）'!$AW$17:$AW$116,MATCH(A255&amp;B255,'計測入力シート（ここのみ編集可）'!$BO$17:$BO$116,0)),"")</f>
        <v/>
      </c>
      <c r="F261" s="296"/>
      <c r="G261" s="297" t="s">
        <v>110</v>
      </c>
      <c r="H261" s="298" t="str">
        <f t="array" ref="H261">IFERROR(INDEX('計測入力シート（ここのみ編集可）'!$AY$17:$AY$116,MATCH(A255&amp;B255,'計測入力シート（ここのみ編集可）'!$BO$17:$BO$116,0)),"")</f>
        <v/>
      </c>
    </row>
    <row r="262" ht="20.25" customHeight="1">
      <c r="D262" s="299" t="s">
        <v>42</v>
      </c>
      <c r="E262" s="300" t="str">
        <f t="array" ref="E262">IFERROR(INDEX('計測入力シート（ここのみ編集可）'!$AZ$17:$AZ$116,MATCH(A255&amp;B255,'計測入力シート（ここのみ編集可）'!$BO$17:$BO$116,0)),"")</f>
        <v/>
      </c>
      <c r="F262" s="116"/>
      <c r="G262" s="301" t="s">
        <v>111</v>
      </c>
      <c r="H262" s="302" t="str">
        <f t="array" ref="H262">IFERROR(INDEX('計測入力シート（ここのみ編集可）'!$BB$17:$BB$116,MATCH(A255&amp;B255,'計測入力シート（ここのみ編集可）'!$BO$17:$BO$116,0)),"")</f>
        <v/>
      </c>
    </row>
    <row r="263" ht="20.25" customHeight="1">
      <c r="D263" s="303" t="s">
        <v>112</v>
      </c>
      <c r="E263" s="304" t="str">
        <f t="array" ref="E263">IFERROR(INDEX('計測入力シート（ここのみ編集可）'!$BC$17:$BC$116,MATCH(A255&amp;B255,'計測入力シート（ここのみ編集可）'!$BO$17:$BO$116,0)),"")</f>
        <v/>
      </c>
      <c r="F263" s="305"/>
      <c r="G263" s="306" t="s">
        <v>25</v>
      </c>
      <c r="H263" s="307" t="str">
        <f t="array" ref="H263">IFERROR(INDEX('計測入力シート（ここのみ編集可）'!$BD$17:$BD$116,MATCH(A255&amp;B255,'計測入力シート（ここのみ編集可）'!$BO$17:$BO$116,0)),"")</f>
        <v/>
      </c>
    </row>
    <row r="264" ht="20.25" customHeight="1">
      <c r="D264" s="308"/>
    </row>
    <row r="265" ht="27.0" customHeight="1">
      <c r="A265" s="52" t="str">
        <f>A255</f>
        <v>C2</v>
      </c>
      <c r="B265" s="52">
        <f>B255+1</f>
        <v>27</v>
      </c>
      <c r="D265" s="271" t="s">
        <v>80</v>
      </c>
      <c r="E265" s="272" t="s">
        <v>81</v>
      </c>
      <c r="F265" s="272" t="s">
        <v>82</v>
      </c>
      <c r="G265" s="273" t="s">
        <v>49</v>
      </c>
      <c r="H265" s="274"/>
    </row>
    <row r="266" ht="27.0" customHeight="1">
      <c r="A266" s="86"/>
      <c r="B266" s="86"/>
      <c r="D266" s="275" t="str">
        <f t="array" ref="D266">IFERROR(INDEX('計測入力シート（ここのみ編集可）'!$BN$17:$BN$116,MATCH(A265&amp;B265,'計測入力シート（ここのみ編集可）'!$BO$17:$BO$116,0)),"")</f>
        <v/>
      </c>
      <c r="E266" s="276" t="str">
        <f t="array" ref="E266">IFERROR(INDEX('計測入力シート（ここのみ編集可）'!$BP$17:$BP$116,MATCH(A265&amp;B265,'計測入力シート（ここのみ編集可）'!$BO$17:$BO$116,0)),"")</f>
        <v/>
      </c>
      <c r="F266" s="277" t="str">
        <f t="array" ref="F266">IFERROR(INDEX('計測入力シート（ここのみ編集可）'!$BR$17:$BR$116,MATCH(A265&amp;B265,'計測入力シート（ここのみ編集可）'!$BO$17:$BO$116,0)),"")</f>
        <v/>
      </c>
      <c r="G266" s="278" t="str">
        <f t="array" ref="G266">IFERROR(INDEX('計測入力シート（ここのみ編集可）'!$BL$17:$BL$116,MATCH(A265&amp;B265,'計測入力シート（ここのみ編集可）'!$BO$17:$BO$116,0)),"")</f>
        <v/>
      </c>
      <c r="H266" s="279"/>
    </row>
    <row r="267" ht="27.0" customHeight="1">
      <c r="D267" s="280" t="s">
        <v>2</v>
      </c>
      <c r="E267" s="281" t="str">
        <f t="array" ref="E267">IFERROR(INDEX('計測入力シート（ここのみ編集可）'!$C$17:$C$116,MATCH(A265&amp;B265,'計測入力シート（ここのみ編集可）'!$BO$17:$BO$116,0)),"")</f>
        <v/>
      </c>
      <c r="F267" s="282" t="s">
        <v>17</v>
      </c>
      <c r="G267" s="283" t="str">
        <f t="array" ref="G267">IFERROR(INDEX('計測入力シート（ここのみ編集可）'!$D$17:$D$116,MATCH(A265&amp;B265,'計測入力シート（ここのみ編集可）'!$BO$17:$BO$116,0)),"")</f>
        <v/>
      </c>
      <c r="H267" s="284"/>
    </row>
    <row r="268" ht="27.0" customHeight="1">
      <c r="D268" s="285" t="s">
        <v>1</v>
      </c>
      <c r="E268" s="286" t="str">
        <f t="array" ref="E268">IFERROR(INDEX('計測入力シート（ここのみ編集可）'!$B$17:$B$116,MATCH(A265&amp;B265,'計測入力シート（ここのみ編集可）'!$BO$17:$BO$116,0)),"")</f>
        <v/>
      </c>
      <c r="F268" s="287" t="s">
        <v>18</v>
      </c>
      <c r="G268" s="288" t="str">
        <f t="array" ref="G268">IFERROR(INDEX('計測入力シート（ここのみ編集可）'!$E$17:$E$116,MATCH(A265&amp;B265,'計測入力シート（ここのみ編集可）'!$BO$17:$BO$116,0)),"")</f>
        <v/>
      </c>
      <c r="H268" s="289"/>
    </row>
    <row r="269" ht="24.75" customHeight="1">
      <c r="D269" s="290" t="s">
        <v>92</v>
      </c>
      <c r="E269" s="291" t="str">
        <f t="array" ref="E269">IFERROR(INDEX(#REF!,MATCH(A265&amp;B265,'計測入力シート（ここのみ編集可）'!$BO$17:$BO$116,0)),"")</f>
        <v/>
      </c>
      <c r="H269" s="232"/>
    </row>
    <row r="270" ht="52.5" customHeight="1">
      <c r="D270" s="292" t="s">
        <v>100</v>
      </c>
      <c r="E270" s="293" t="str">
        <f t="array" ref="E270">IFERROR(INDEX(#REF!,MATCH(A265&amp;B265,'計測入力シート（ここのみ編集可）'!$BO$17:$BO$116,0)),"")</f>
        <v/>
      </c>
      <c r="F270" s="95"/>
      <c r="G270" s="95"/>
      <c r="H270" s="96"/>
    </row>
    <row r="271" ht="20.25" customHeight="1">
      <c r="D271" s="294" t="s">
        <v>39</v>
      </c>
      <c r="E271" s="295" t="str">
        <f t="array" ref="E271">IFERROR(INDEX('計測入力シート（ここのみ編集可）'!$AW$17:$AW$116,MATCH(A265&amp;B265,'計測入力シート（ここのみ編集可）'!$BO$17:$BO$116,0)),"")</f>
        <v/>
      </c>
      <c r="F271" s="296"/>
      <c r="G271" s="297" t="s">
        <v>110</v>
      </c>
      <c r="H271" s="298" t="str">
        <f t="array" ref="H271">IFERROR(INDEX('計測入力シート（ここのみ編集可）'!$AY$17:$AY$116,MATCH(A265&amp;B265,'計測入力シート（ここのみ編集可）'!$BO$17:$BO$116,0)),"")</f>
        <v/>
      </c>
    </row>
    <row r="272" ht="20.25" customHeight="1">
      <c r="D272" s="299" t="s">
        <v>42</v>
      </c>
      <c r="E272" s="300" t="str">
        <f t="array" ref="E272">IFERROR(INDEX('計測入力シート（ここのみ編集可）'!$AZ$17:$AZ$116,MATCH(A265&amp;B265,'計測入力シート（ここのみ編集可）'!$BO$17:$BO$116,0)),"")</f>
        <v/>
      </c>
      <c r="F272" s="116"/>
      <c r="G272" s="301" t="s">
        <v>111</v>
      </c>
      <c r="H272" s="302" t="str">
        <f t="array" ref="H272">IFERROR(INDEX('計測入力シート（ここのみ編集可）'!$BB$17:$BB$116,MATCH(A265&amp;B265,'計測入力シート（ここのみ編集可）'!$BO$17:$BO$116,0)),"")</f>
        <v/>
      </c>
    </row>
    <row r="273" ht="20.25" customHeight="1">
      <c r="D273" s="303" t="s">
        <v>112</v>
      </c>
      <c r="E273" s="304" t="str">
        <f t="array" ref="E273">IFERROR(INDEX('計測入力シート（ここのみ編集可）'!$BC$17:$BC$116,MATCH(A265&amp;B265,'計測入力シート（ここのみ編集可）'!$BO$17:$BO$116,0)),"")</f>
        <v/>
      </c>
      <c r="F273" s="305"/>
      <c r="G273" s="306" t="s">
        <v>25</v>
      </c>
      <c r="H273" s="307" t="str">
        <f t="array" ref="H273">IFERROR(INDEX('計測入力シート（ここのみ編集可）'!$BD$17:$BD$116,MATCH(A265&amp;B265,'計測入力シート（ここのみ編集可）'!$BO$17:$BO$116,0)),"")</f>
        <v/>
      </c>
    </row>
    <row r="274" ht="20.25" customHeight="1">
      <c r="D274" s="308"/>
    </row>
    <row r="275" ht="27.0" customHeight="1">
      <c r="A275" s="52" t="str">
        <f>A265</f>
        <v>C2</v>
      </c>
      <c r="B275" s="52">
        <f>B265+1</f>
        <v>28</v>
      </c>
      <c r="D275" s="271" t="s">
        <v>80</v>
      </c>
      <c r="E275" s="272" t="s">
        <v>81</v>
      </c>
      <c r="F275" s="272" t="s">
        <v>82</v>
      </c>
      <c r="G275" s="273" t="s">
        <v>49</v>
      </c>
      <c r="H275" s="274"/>
    </row>
    <row r="276" ht="27.0" customHeight="1">
      <c r="A276" s="86"/>
      <c r="B276" s="86"/>
      <c r="D276" s="275" t="str">
        <f t="array" ref="D276">IFERROR(INDEX('計測入力シート（ここのみ編集可）'!$BN$17:$BN$116,MATCH(A275&amp;B275,'計測入力シート（ここのみ編集可）'!$BO$17:$BO$116,0)),"")</f>
        <v/>
      </c>
      <c r="E276" s="276" t="str">
        <f t="array" ref="E276">IFERROR(INDEX('計測入力シート（ここのみ編集可）'!$BP$17:$BP$116,MATCH(A275&amp;B275,'計測入力シート（ここのみ編集可）'!$BO$17:$BO$116,0)),"")</f>
        <v/>
      </c>
      <c r="F276" s="277" t="str">
        <f t="array" ref="F276">IFERROR(INDEX('計測入力シート（ここのみ編集可）'!$BR$17:$BR$116,MATCH(A275&amp;B275,'計測入力シート（ここのみ編集可）'!$BO$17:$BO$116,0)),"")</f>
        <v/>
      </c>
      <c r="G276" s="278" t="str">
        <f t="array" ref="G276">IFERROR(INDEX('計測入力シート（ここのみ編集可）'!$BL$17:$BL$116,MATCH(A275&amp;B275,'計測入力シート（ここのみ編集可）'!$BO$17:$BO$116,0)),"")</f>
        <v/>
      </c>
      <c r="H276" s="279"/>
    </row>
    <row r="277" ht="27.0" customHeight="1">
      <c r="D277" s="280" t="s">
        <v>2</v>
      </c>
      <c r="E277" s="281" t="str">
        <f t="array" ref="E277">IFERROR(INDEX('計測入力シート（ここのみ編集可）'!$C$17:$C$116,MATCH(A275&amp;B275,'計測入力シート（ここのみ編集可）'!$BO$17:$BO$116,0)),"")</f>
        <v/>
      </c>
      <c r="F277" s="282" t="s">
        <v>17</v>
      </c>
      <c r="G277" s="283" t="str">
        <f t="array" ref="G277">IFERROR(INDEX('計測入力シート（ここのみ編集可）'!$D$17:$D$116,MATCH(A275&amp;B275,'計測入力シート（ここのみ編集可）'!$BO$17:$BO$116,0)),"")</f>
        <v/>
      </c>
      <c r="H277" s="284"/>
    </row>
    <row r="278" ht="27.0" customHeight="1">
      <c r="D278" s="285" t="s">
        <v>1</v>
      </c>
      <c r="E278" s="286" t="str">
        <f t="array" ref="E278">IFERROR(INDEX('計測入力シート（ここのみ編集可）'!$B$17:$B$116,MATCH(A275&amp;B275,'計測入力シート（ここのみ編集可）'!$BO$17:$BO$116,0)),"")</f>
        <v/>
      </c>
      <c r="F278" s="287" t="s">
        <v>18</v>
      </c>
      <c r="G278" s="288" t="str">
        <f t="array" ref="G278">IFERROR(INDEX('計測入力シート（ここのみ編集可）'!$E$17:$E$116,MATCH(A275&amp;B275,'計測入力シート（ここのみ編集可）'!$BO$17:$BO$116,0)),"")</f>
        <v/>
      </c>
      <c r="H278" s="289"/>
    </row>
    <row r="279" ht="24.75" customHeight="1">
      <c r="D279" s="290" t="s">
        <v>92</v>
      </c>
      <c r="E279" s="291" t="str">
        <f t="array" ref="E279">IFERROR(INDEX(#REF!,MATCH(A275&amp;B275,'計測入力シート（ここのみ編集可）'!$BO$17:$BO$116,0)),"")</f>
        <v/>
      </c>
      <c r="H279" s="232"/>
    </row>
    <row r="280" ht="52.5" customHeight="1">
      <c r="D280" s="292" t="s">
        <v>100</v>
      </c>
      <c r="E280" s="293" t="str">
        <f t="array" ref="E280">IFERROR(INDEX(#REF!,MATCH(A275&amp;B275,'計測入力シート（ここのみ編集可）'!$BO$17:$BO$116,0)),"")</f>
        <v/>
      </c>
      <c r="F280" s="95"/>
      <c r="G280" s="95"/>
      <c r="H280" s="96"/>
    </row>
    <row r="281" ht="20.25" customHeight="1">
      <c r="D281" s="294" t="s">
        <v>39</v>
      </c>
      <c r="E281" s="295" t="str">
        <f t="array" ref="E281">IFERROR(INDEX('計測入力シート（ここのみ編集可）'!$AW$17:$AW$116,MATCH(A275&amp;B275,'計測入力シート（ここのみ編集可）'!$BO$17:$BO$116,0)),"")</f>
        <v/>
      </c>
      <c r="F281" s="296"/>
      <c r="G281" s="297" t="s">
        <v>110</v>
      </c>
      <c r="H281" s="298" t="str">
        <f t="array" ref="H281">IFERROR(INDEX('計測入力シート（ここのみ編集可）'!$AY$17:$AY$116,MATCH(A275&amp;B275,'計測入力シート（ここのみ編集可）'!$BO$17:$BO$116,0)),"")</f>
        <v/>
      </c>
    </row>
    <row r="282" ht="20.25" customHeight="1">
      <c r="D282" s="299" t="s">
        <v>42</v>
      </c>
      <c r="E282" s="300" t="str">
        <f t="array" ref="E282">IFERROR(INDEX('計測入力シート（ここのみ編集可）'!$AZ$17:$AZ$116,MATCH(A275&amp;B275,'計測入力シート（ここのみ編集可）'!$BO$17:$BO$116,0)),"")</f>
        <v/>
      </c>
      <c r="F282" s="116"/>
      <c r="G282" s="301" t="s">
        <v>111</v>
      </c>
      <c r="H282" s="302" t="str">
        <f t="array" ref="H282">IFERROR(INDEX('計測入力シート（ここのみ編集可）'!$BB$17:$BB$116,MATCH(A275&amp;B275,'計測入力シート（ここのみ編集可）'!$BO$17:$BO$116,0)),"")</f>
        <v/>
      </c>
    </row>
    <row r="283" ht="20.25" customHeight="1">
      <c r="D283" s="303" t="s">
        <v>112</v>
      </c>
      <c r="E283" s="304" t="str">
        <f t="array" ref="E283">IFERROR(INDEX('計測入力シート（ここのみ編集可）'!$BC$17:$BC$116,MATCH(A275&amp;B275,'計測入力シート（ここのみ編集可）'!$BO$17:$BO$116,0)),"")</f>
        <v/>
      </c>
      <c r="F283" s="305"/>
      <c r="G283" s="306" t="s">
        <v>25</v>
      </c>
      <c r="H283" s="307" t="str">
        <f t="array" ref="H283">IFERROR(INDEX('計測入力シート（ここのみ編集可）'!$BD$17:$BD$116,MATCH(A275&amp;B275,'計測入力シート（ここのみ編集可）'!$BO$17:$BO$116,0)),"")</f>
        <v/>
      </c>
    </row>
    <row r="284" ht="20.25" customHeight="1">
      <c r="D284" s="308"/>
    </row>
    <row r="285" ht="27.0" customHeight="1">
      <c r="A285" s="52" t="str">
        <f>A275</f>
        <v>C2</v>
      </c>
      <c r="B285" s="52">
        <f>B275+1</f>
        <v>29</v>
      </c>
      <c r="D285" s="271" t="s">
        <v>80</v>
      </c>
      <c r="E285" s="272" t="s">
        <v>81</v>
      </c>
      <c r="F285" s="272" t="s">
        <v>82</v>
      </c>
      <c r="G285" s="273" t="s">
        <v>49</v>
      </c>
      <c r="H285" s="274"/>
    </row>
    <row r="286" ht="27.0" customHeight="1">
      <c r="A286" s="86"/>
      <c r="B286" s="86"/>
      <c r="D286" s="275" t="str">
        <f t="array" ref="D286">IFERROR(INDEX('計測入力シート（ここのみ編集可）'!$BN$17:$BN$116,MATCH(A285&amp;B285,'計測入力シート（ここのみ編集可）'!$BO$17:$BO$116,0)),"")</f>
        <v/>
      </c>
      <c r="E286" s="276" t="str">
        <f t="array" ref="E286">IFERROR(INDEX('計測入力シート（ここのみ編集可）'!$BP$17:$BP$116,MATCH(A285&amp;B285,'計測入力シート（ここのみ編集可）'!$BO$17:$BO$116,0)),"")</f>
        <v/>
      </c>
      <c r="F286" s="277" t="str">
        <f t="array" ref="F286">IFERROR(INDEX('計測入力シート（ここのみ編集可）'!$BR$17:$BR$116,MATCH(A285&amp;B285,'計測入力シート（ここのみ編集可）'!$BO$17:$BO$116,0)),"")</f>
        <v/>
      </c>
      <c r="G286" s="278" t="str">
        <f t="array" ref="G286">IFERROR(INDEX('計測入力シート（ここのみ編集可）'!$BL$17:$BL$116,MATCH(A285&amp;B285,'計測入力シート（ここのみ編集可）'!$BO$17:$BO$116,0)),"")</f>
        <v/>
      </c>
      <c r="H286" s="279"/>
    </row>
    <row r="287" ht="27.0" customHeight="1">
      <c r="D287" s="280" t="s">
        <v>2</v>
      </c>
      <c r="E287" s="281" t="str">
        <f t="array" ref="E287">IFERROR(INDEX('計測入力シート（ここのみ編集可）'!$C$17:$C$116,MATCH(A285&amp;B285,'計測入力シート（ここのみ編集可）'!$BO$17:$BO$116,0)),"")</f>
        <v/>
      </c>
      <c r="F287" s="282" t="s">
        <v>17</v>
      </c>
      <c r="G287" s="283" t="str">
        <f t="array" ref="G287">IFERROR(INDEX('計測入力シート（ここのみ編集可）'!$D$17:$D$116,MATCH(A285&amp;B285,'計測入力シート（ここのみ編集可）'!$BO$17:$BO$116,0)),"")</f>
        <v/>
      </c>
      <c r="H287" s="284"/>
    </row>
    <row r="288" ht="27.0" customHeight="1">
      <c r="D288" s="285" t="s">
        <v>1</v>
      </c>
      <c r="E288" s="286" t="str">
        <f t="array" ref="E288">IFERROR(INDEX('計測入力シート（ここのみ編集可）'!$B$17:$B$116,MATCH(A285&amp;B285,'計測入力シート（ここのみ編集可）'!$BO$17:$BO$116,0)),"")</f>
        <v/>
      </c>
      <c r="F288" s="287" t="s">
        <v>18</v>
      </c>
      <c r="G288" s="288" t="str">
        <f t="array" ref="G288">IFERROR(INDEX('計測入力シート（ここのみ編集可）'!$E$17:$E$116,MATCH(A285&amp;B285,'計測入力シート（ここのみ編集可）'!$BO$17:$BO$116,0)),"")</f>
        <v/>
      </c>
      <c r="H288" s="289"/>
    </row>
    <row r="289" ht="24.75" customHeight="1">
      <c r="D289" s="290" t="s">
        <v>92</v>
      </c>
      <c r="E289" s="291" t="str">
        <f t="array" ref="E289">IFERROR(INDEX(#REF!,MATCH(A285&amp;B285,'計測入力シート（ここのみ編集可）'!$BO$17:$BO$116,0)),"")</f>
        <v/>
      </c>
      <c r="H289" s="232"/>
    </row>
    <row r="290" ht="52.5" customHeight="1">
      <c r="D290" s="292" t="s">
        <v>100</v>
      </c>
      <c r="E290" s="293" t="str">
        <f t="array" ref="E290">IFERROR(INDEX(#REF!,MATCH(A285&amp;B285,'計測入力シート（ここのみ編集可）'!$BO$17:$BO$116,0)),"")</f>
        <v/>
      </c>
      <c r="F290" s="95"/>
      <c r="G290" s="95"/>
      <c r="H290" s="96"/>
    </row>
    <row r="291" ht="20.25" customHeight="1">
      <c r="D291" s="294" t="s">
        <v>39</v>
      </c>
      <c r="E291" s="295" t="str">
        <f t="array" ref="E291">IFERROR(INDEX('計測入力シート（ここのみ編集可）'!$AW$17:$AW$116,MATCH(A285&amp;B285,'計測入力シート（ここのみ編集可）'!$BO$17:$BO$116,0)),"")</f>
        <v/>
      </c>
      <c r="F291" s="296"/>
      <c r="G291" s="297" t="s">
        <v>110</v>
      </c>
      <c r="H291" s="298" t="str">
        <f t="array" ref="H291">IFERROR(INDEX('計測入力シート（ここのみ編集可）'!$AY$17:$AY$116,MATCH(A285&amp;B285,'計測入力シート（ここのみ編集可）'!$BO$17:$BO$116,0)),"")</f>
        <v/>
      </c>
    </row>
    <row r="292" ht="20.25" customHeight="1">
      <c r="D292" s="299" t="s">
        <v>42</v>
      </c>
      <c r="E292" s="300" t="str">
        <f t="array" ref="E292">IFERROR(INDEX('計測入力シート（ここのみ編集可）'!$AZ$17:$AZ$116,MATCH(A285&amp;B285,'計測入力シート（ここのみ編集可）'!$BO$17:$BO$116,0)),"")</f>
        <v/>
      </c>
      <c r="F292" s="116"/>
      <c r="G292" s="301" t="s">
        <v>111</v>
      </c>
      <c r="H292" s="302" t="str">
        <f t="array" ref="H292">IFERROR(INDEX('計測入力シート（ここのみ編集可）'!$BB$17:$BB$116,MATCH(A285&amp;B285,'計測入力シート（ここのみ編集可）'!$BO$17:$BO$116,0)),"")</f>
        <v/>
      </c>
    </row>
    <row r="293" ht="20.25" customHeight="1">
      <c r="D293" s="303" t="s">
        <v>112</v>
      </c>
      <c r="E293" s="304" t="str">
        <f t="array" ref="E293">IFERROR(INDEX('計測入力シート（ここのみ編集可）'!$BC$17:$BC$116,MATCH(A285&amp;B285,'計測入力シート（ここのみ編集可）'!$BO$17:$BO$116,0)),"")</f>
        <v/>
      </c>
      <c r="F293" s="305"/>
      <c r="G293" s="306" t="s">
        <v>25</v>
      </c>
      <c r="H293" s="307" t="str">
        <f t="array" ref="H293">IFERROR(INDEX('計測入力シート（ここのみ編集可）'!$BD$17:$BD$116,MATCH(A285&amp;B285,'計測入力シート（ここのみ編集可）'!$BO$17:$BO$116,0)),"")</f>
        <v/>
      </c>
    </row>
    <row r="294" ht="20.25" customHeight="1">
      <c r="D294" s="308"/>
    </row>
    <row r="295" ht="27.0" customHeight="1">
      <c r="A295" s="52" t="str">
        <f>A285</f>
        <v>C2</v>
      </c>
      <c r="B295" s="52">
        <f>B285+1</f>
        <v>30</v>
      </c>
      <c r="D295" s="271" t="s">
        <v>80</v>
      </c>
      <c r="E295" s="272" t="s">
        <v>81</v>
      </c>
      <c r="F295" s="272" t="s">
        <v>82</v>
      </c>
      <c r="G295" s="273" t="s">
        <v>49</v>
      </c>
      <c r="H295" s="274"/>
    </row>
    <row r="296" ht="27.0" customHeight="1">
      <c r="A296" s="86"/>
      <c r="B296" s="86"/>
      <c r="D296" s="275" t="str">
        <f t="array" ref="D296">IFERROR(INDEX('計測入力シート（ここのみ編集可）'!$BN$17:$BN$116,MATCH(A295&amp;B295,'計測入力シート（ここのみ編集可）'!$BO$17:$BO$116,0)),"")</f>
        <v/>
      </c>
      <c r="E296" s="276" t="str">
        <f t="array" ref="E296">IFERROR(INDEX('計測入力シート（ここのみ編集可）'!$BP$17:$BP$116,MATCH(A295&amp;B295,'計測入力シート（ここのみ編集可）'!$BO$17:$BO$116,0)),"")</f>
        <v/>
      </c>
      <c r="F296" s="277" t="str">
        <f t="array" ref="F296">IFERROR(INDEX('計測入力シート（ここのみ編集可）'!$BR$17:$BR$116,MATCH(A295&amp;B295,'計測入力シート（ここのみ編集可）'!$BO$17:$BO$116,0)),"")</f>
        <v/>
      </c>
      <c r="G296" s="278" t="str">
        <f t="array" ref="G296">IFERROR(INDEX('計測入力シート（ここのみ編集可）'!$BL$17:$BL$116,MATCH(A295&amp;B295,'計測入力シート（ここのみ編集可）'!$BO$17:$BO$116,0)),"")</f>
        <v/>
      </c>
      <c r="H296" s="279"/>
    </row>
    <row r="297" ht="27.0" customHeight="1">
      <c r="D297" s="280" t="s">
        <v>2</v>
      </c>
      <c r="E297" s="281" t="str">
        <f t="array" ref="E297">IFERROR(INDEX('計測入力シート（ここのみ編集可）'!$C$17:$C$116,MATCH(A295&amp;B295,'計測入力シート（ここのみ編集可）'!$BO$17:$BO$116,0)),"")</f>
        <v/>
      </c>
      <c r="F297" s="282" t="s">
        <v>17</v>
      </c>
      <c r="G297" s="283" t="str">
        <f t="array" ref="G297">IFERROR(INDEX('計測入力シート（ここのみ編集可）'!$D$17:$D$116,MATCH(A295&amp;B295,'計測入力シート（ここのみ編集可）'!$BO$17:$BO$116,0)),"")</f>
        <v/>
      </c>
      <c r="H297" s="284"/>
    </row>
    <row r="298" ht="27.0" customHeight="1">
      <c r="D298" s="285" t="s">
        <v>1</v>
      </c>
      <c r="E298" s="286" t="str">
        <f t="array" ref="E298">IFERROR(INDEX('計測入力シート（ここのみ編集可）'!$B$17:$B$116,MATCH(A295&amp;B295,'計測入力シート（ここのみ編集可）'!$BO$17:$BO$116,0)),"")</f>
        <v/>
      </c>
      <c r="F298" s="287" t="s">
        <v>18</v>
      </c>
      <c r="G298" s="288" t="str">
        <f t="array" ref="G298">IFERROR(INDEX('計測入力シート（ここのみ編集可）'!$E$17:$E$116,MATCH(A295&amp;B295,'計測入力シート（ここのみ編集可）'!$BO$17:$BO$116,0)),"")</f>
        <v/>
      </c>
      <c r="H298" s="289"/>
    </row>
    <row r="299" ht="24.75" customHeight="1">
      <c r="D299" s="290" t="s">
        <v>92</v>
      </c>
      <c r="E299" s="291" t="str">
        <f t="array" ref="E299">IFERROR(INDEX(#REF!,MATCH(A295&amp;B295,'計測入力シート（ここのみ編集可）'!$BO$17:$BO$116,0)),"")</f>
        <v/>
      </c>
      <c r="H299" s="232"/>
    </row>
    <row r="300" ht="52.5" customHeight="1">
      <c r="D300" s="292" t="s">
        <v>100</v>
      </c>
      <c r="E300" s="293" t="str">
        <f t="array" ref="E300">IFERROR(INDEX(#REF!,MATCH(A295&amp;B295,'計測入力シート（ここのみ編集可）'!$BO$17:$BO$116,0)),"")</f>
        <v/>
      </c>
      <c r="F300" s="95"/>
      <c r="G300" s="95"/>
      <c r="H300" s="96"/>
    </row>
    <row r="301" ht="20.25" customHeight="1">
      <c r="D301" s="294" t="s">
        <v>39</v>
      </c>
      <c r="E301" s="295" t="str">
        <f t="array" ref="E301">IFERROR(INDEX('計測入力シート（ここのみ編集可）'!$AW$17:$AW$116,MATCH(A295&amp;B295,'計測入力シート（ここのみ編集可）'!$BO$17:$BO$116,0)),"")</f>
        <v/>
      </c>
      <c r="F301" s="296"/>
      <c r="G301" s="297" t="s">
        <v>110</v>
      </c>
      <c r="H301" s="298" t="str">
        <f t="array" ref="H301">IFERROR(INDEX('計測入力シート（ここのみ編集可）'!$AY$17:$AY$116,MATCH(A295&amp;B295,'計測入力シート（ここのみ編集可）'!$BO$17:$BO$116,0)),"")</f>
        <v/>
      </c>
    </row>
    <row r="302" ht="20.25" customHeight="1">
      <c r="D302" s="299" t="s">
        <v>42</v>
      </c>
      <c r="E302" s="300" t="str">
        <f t="array" ref="E302">IFERROR(INDEX('計測入力シート（ここのみ編集可）'!$AZ$17:$AZ$116,MATCH(A295&amp;B295,'計測入力シート（ここのみ編集可）'!$BO$17:$BO$116,0)),"")</f>
        <v/>
      </c>
      <c r="F302" s="116"/>
      <c r="G302" s="301" t="s">
        <v>111</v>
      </c>
      <c r="H302" s="302" t="str">
        <f t="array" ref="H302">IFERROR(INDEX('計測入力シート（ここのみ編集可）'!$BB$17:$BB$116,MATCH(A295&amp;B295,'計測入力シート（ここのみ編集可）'!$BO$17:$BO$116,0)),"")</f>
        <v/>
      </c>
    </row>
    <row r="303" ht="20.25" customHeight="1">
      <c r="D303" s="303" t="s">
        <v>112</v>
      </c>
      <c r="E303" s="304" t="str">
        <f t="array" ref="E303">IFERROR(INDEX('計測入力シート（ここのみ編集可）'!$BC$17:$BC$116,MATCH(A295&amp;B295,'計測入力シート（ここのみ編集可）'!$BO$17:$BO$116,0)),"")</f>
        <v/>
      </c>
      <c r="F303" s="305"/>
      <c r="G303" s="306" t="s">
        <v>25</v>
      </c>
      <c r="H303" s="307" t="str">
        <f t="array" ref="H303">IFERROR(INDEX('計測入力シート（ここのみ編集可）'!$BD$17:$BD$116,MATCH(A295&amp;B295,'計測入力シート（ここのみ編集可）'!$BO$17:$BO$116,0)),"")</f>
        <v/>
      </c>
    </row>
    <row r="304">
      <c r="D304" s="309"/>
      <c r="E304" s="309"/>
      <c r="F304" s="309"/>
      <c r="G304" s="309"/>
      <c r="H304" s="309"/>
    </row>
    <row r="305">
      <c r="D305" s="309"/>
      <c r="E305" s="309"/>
      <c r="F305" s="309"/>
      <c r="G305" s="309"/>
      <c r="H305" s="309"/>
    </row>
    <row r="306">
      <c r="D306" s="309"/>
      <c r="E306" s="309"/>
      <c r="F306" s="309"/>
      <c r="G306" s="309"/>
      <c r="H306" s="309"/>
    </row>
    <row r="307">
      <c r="D307" s="309"/>
      <c r="E307" s="309"/>
      <c r="F307" s="309"/>
      <c r="G307" s="309"/>
      <c r="H307" s="309"/>
    </row>
    <row r="308">
      <c r="D308" s="309"/>
      <c r="E308" s="309"/>
      <c r="F308" s="309"/>
      <c r="G308" s="309"/>
      <c r="H308" s="309"/>
    </row>
    <row r="309">
      <c r="D309" s="309"/>
      <c r="E309" s="309"/>
      <c r="F309" s="309"/>
      <c r="G309" s="309"/>
      <c r="H309" s="309"/>
    </row>
    <row r="310">
      <c r="D310" s="309"/>
      <c r="E310" s="309"/>
      <c r="F310" s="309"/>
      <c r="G310" s="309"/>
      <c r="H310" s="309"/>
    </row>
    <row r="311">
      <c r="D311" s="309"/>
      <c r="E311" s="309"/>
      <c r="F311" s="309"/>
      <c r="G311" s="309"/>
      <c r="H311" s="309"/>
    </row>
    <row r="312">
      <c r="D312" s="309"/>
      <c r="E312" s="309"/>
      <c r="F312" s="309"/>
      <c r="G312" s="309"/>
      <c r="H312" s="309"/>
    </row>
    <row r="313">
      <c r="D313" s="309"/>
      <c r="E313" s="309"/>
      <c r="F313" s="309"/>
      <c r="G313" s="309"/>
      <c r="H313" s="309"/>
    </row>
    <row r="314">
      <c r="D314" s="309"/>
      <c r="E314" s="309"/>
      <c r="F314" s="309"/>
      <c r="G314" s="309"/>
      <c r="H314" s="309"/>
    </row>
    <row r="315">
      <c r="D315" s="309"/>
      <c r="E315" s="309"/>
      <c r="F315" s="309"/>
      <c r="G315" s="309"/>
      <c r="H315" s="309"/>
    </row>
    <row r="316">
      <c r="D316" s="309"/>
      <c r="E316" s="309"/>
      <c r="F316" s="309"/>
      <c r="G316" s="309"/>
      <c r="H316" s="309"/>
    </row>
    <row r="317">
      <c r="D317" s="309"/>
      <c r="E317" s="309"/>
      <c r="F317" s="309"/>
      <c r="G317" s="309"/>
      <c r="H317" s="309"/>
    </row>
    <row r="318">
      <c r="D318" s="309"/>
      <c r="E318" s="309"/>
      <c r="F318" s="309"/>
      <c r="G318" s="309"/>
      <c r="H318" s="309"/>
    </row>
    <row r="319">
      <c r="D319" s="309"/>
      <c r="E319" s="309"/>
      <c r="F319" s="309"/>
      <c r="G319" s="309"/>
      <c r="H319" s="309"/>
    </row>
    <row r="320">
      <c r="D320" s="309"/>
      <c r="E320" s="309"/>
      <c r="F320" s="309"/>
      <c r="G320" s="309"/>
      <c r="H320" s="309"/>
    </row>
    <row r="321">
      <c r="D321" s="309"/>
      <c r="E321" s="309"/>
      <c r="F321" s="309"/>
      <c r="G321" s="309"/>
      <c r="H321" s="309"/>
      <c r="I321" s="309"/>
    </row>
    <row r="322">
      <c r="D322" s="309"/>
      <c r="E322" s="309"/>
      <c r="F322" s="309"/>
      <c r="G322" s="309"/>
      <c r="H322" s="309"/>
      <c r="I322" s="309"/>
    </row>
    <row r="323">
      <c r="D323" s="309"/>
      <c r="E323" s="309"/>
      <c r="F323" s="309"/>
      <c r="G323" s="309"/>
      <c r="H323" s="309"/>
      <c r="I323" s="309"/>
    </row>
    <row r="324">
      <c r="D324" s="309"/>
      <c r="E324" s="309"/>
      <c r="F324" s="309"/>
      <c r="G324" s="309"/>
      <c r="H324" s="309"/>
      <c r="I324" s="309"/>
    </row>
    <row r="325">
      <c r="D325" s="309"/>
      <c r="E325" s="309"/>
      <c r="F325" s="309"/>
      <c r="G325" s="309"/>
      <c r="H325" s="309"/>
      <c r="I325" s="309"/>
    </row>
    <row r="326">
      <c r="D326" s="309"/>
      <c r="E326" s="309"/>
      <c r="F326" s="309"/>
      <c r="G326" s="309"/>
      <c r="H326" s="309"/>
      <c r="I326" s="309"/>
    </row>
    <row r="327">
      <c r="D327" s="309"/>
      <c r="E327" s="309"/>
      <c r="F327" s="309"/>
      <c r="G327" s="309"/>
      <c r="H327" s="309"/>
      <c r="I327" s="309"/>
    </row>
    <row r="328">
      <c r="D328" s="309"/>
      <c r="E328" s="309"/>
      <c r="F328" s="309"/>
      <c r="G328" s="309"/>
      <c r="H328" s="309"/>
      <c r="I328" s="309"/>
    </row>
    <row r="329">
      <c r="D329" s="309"/>
      <c r="E329" s="309"/>
      <c r="F329" s="309"/>
      <c r="G329" s="309"/>
      <c r="H329" s="309"/>
      <c r="I329" s="309"/>
    </row>
    <row r="330">
      <c r="D330" s="309"/>
      <c r="E330" s="309"/>
      <c r="F330" s="309"/>
      <c r="G330" s="309"/>
      <c r="H330" s="309"/>
      <c r="I330" s="309"/>
    </row>
    <row r="331">
      <c r="D331" s="309"/>
      <c r="E331" s="309"/>
      <c r="F331" s="309"/>
      <c r="G331" s="309"/>
      <c r="H331" s="309"/>
      <c r="I331" s="309"/>
    </row>
    <row r="332">
      <c r="D332" s="309"/>
      <c r="E332" s="309"/>
      <c r="F332" s="309"/>
      <c r="G332" s="309"/>
      <c r="H332" s="309"/>
      <c r="I332" s="309"/>
    </row>
    <row r="333">
      <c r="D333" s="309"/>
      <c r="E333" s="309"/>
      <c r="F333" s="309"/>
      <c r="G333" s="309"/>
      <c r="H333" s="309"/>
      <c r="I333" s="309"/>
    </row>
    <row r="334">
      <c r="D334" s="309"/>
      <c r="E334" s="309"/>
      <c r="F334" s="309"/>
      <c r="G334" s="309"/>
      <c r="H334" s="309"/>
      <c r="I334" s="309"/>
    </row>
    <row r="335">
      <c r="D335" s="309"/>
      <c r="E335" s="309"/>
      <c r="F335" s="309"/>
      <c r="G335" s="309"/>
      <c r="H335" s="309"/>
      <c r="I335" s="309"/>
    </row>
    <row r="336">
      <c r="D336" s="309"/>
      <c r="E336" s="309"/>
      <c r="F336" s="309"/>
      <c r="G336" s="309"/>
      <c r="H336" s="309"/>
      <c r="I336" s="309"/>
    </row>
    <row r="337">
      <c r="D337" s="309"/>
      <c r="E337" s="309"/>
      <c r="F337" s="309"/>
      <c r="G337" s="309"/>
      <c r="H337" s="309"/>
      <c r="I337" s="309"/>
    </row>
    <row r="338">
      <c r="D338" s="309"/>
      <c r="E338" s="309"/>
      <c r="F338" s="309"/>
      <c r="G338" s="309"/>
      <c r="H338" s="309"/>
      <c r="I338" s="309"/>
    </row>
    <row r="339">
      <c r="D339" s="309"/>
      <c r="E339" s="309"/>
      <c r="F339" s="309"/>
      <c r="G339" s="309"/>
      <c r="H339" s="309"/>
      <c r="I339" s="309"/>
    </row>
    <row r="340">
      <c r="D340" s="309"/>
      <c r="E340" s="309"/>
      <c r="F340" s="309"/>
      <c r="G340" s="309"/>
      <c r="H340" s="309"/>
      <c r="I340" s="309"/>
    </row>
    <row r="341">
      <c r="D341" s="309"/>
      <c r="E341" s="309"/>
      <c r="F341" s="309"/>
      <c r="G341" s="309"/>
      <c r="H341" s="309"/>
      <c r="I341" s="309"/>
    </row>
    <row r="342">
      <c r="D342" s="309"/>
      <c r="E342" s="309"/>
      <c r="F342" s="309"/>
      <c r="G342" s="309"/>
      <c r="H342" s="309"/>
      <c r="I342" s="309"/>
    </row>
    <row r="343">
      <c r="D343" s="309"/>
      <c r="E343" s="309"/>
      <c r="F343" s="309"/>
      <c r="G343" s="309"/>
      <c r="H343" s="309"/>
      <c r="I343" s="309"/>
    </row>
    <row r="344">
      <c r="D344" s="309"/>
      <c r="E344" s="309"/>
      <c r="F344" s="309"/>
      <c r="G344" s="309"/>
      <c r="H344" s="309"/>
      <c r="I344" s="309"/>
    </row>
    <row r="345">
      <c r="D345" s="309"/>
      <c r="E345" s="309"/>
      <c r="F345" s="309"/>
      <c r="G345" s="309"/>
      <c r="H345" s="309"/>
      <c r="I345" s="309"/>
    </row>
    <row r="346">
      <c r="D346" s="309"/>
      <c r="E346" s="309"/>
      <c r="F346" s="309"/>
      <c r="G346" s="309"/>
      <c r="H346" s="309"/>
      <c r="I346" s="309"/>
    </row>
    <row r="347">
      <c r="D347" s="309"/>
      <c r="E347" s="309"/>
      <c r="F347" s="309"/>
      <c r="G347" s="309"/>
      <c r="H347" s="309"/>
      <c r="I347" s="309"/>
    </row>
    <row r="348">
      <c r="D348" s="309"/>
      <c r="E348" s="309"/>
      <c r="F348" s="309"/>
      <c r="G348" s="309"/>
      <c r="H348" s="309"/>
      <c r="I348" s="309"/>
    </row>
    <row r="349">
      <c r="D349" s="309"/>
      <c r="E349" s="309"/>
      <c r="F349" s="309"/>
      <c r="G349" s="309"/>
      <c r="H349" s="309"/>
      <c r="I349" s="309"/>
    </row>
    <row r="350">
      <c r="D350" s="309"/>
      <c r="E350" s="309"/>
      <c r="F350" s="309"/>
      <c r="G350" s="309"/>
      <c r="H350" s="309"/>
      <c r="I350" s="309"/>
    </row>
    <row r="351">
      <c r="D351" s="309"/>
      <c r="E351" s="309"/>
      <c r="F351" s="309"/>
      <c r="G351" s="309"/>
      <c r="H351" s="309"/>
      <c r="I351" s="309"/>
    </row>
    <row r="352">
      <c r="D352" s="309"/>
      <c r="E352" s="309"/>
      <c r="F352" s="309"/>
      <c r="G352" s="309"/>
      <c r="H352" s="309"/>
      <c r="I352" s="309"/>
    </row>
    <row r="353">
      <c r="D353" s="309"/>
      <c r="E353" s="309"/>
      <c r="F353" s="309"/>
      <c r="G353" s="309"/>
      <c r="H353" s="309"/>
      <c r="I353" s="309"/>
    </row>
    <row r="354">
      <c r="D354" s="309"/>
      <c r="E354" s="309"/>
      <c r="F354" s="309"/>
      <c r="G354" s="309"/>
      <c r="H354" s="309"/>
      <c r="I354" s="309"/>
    </row>
    <row r="355">
      <c r="D355" s="309"/>
      <c r="E355" s="309"/>
      <c r="F355" s="309"/>
      <c r="G355" s="309"/>
      <c r="H355" s="309"/>
      <c r="I355" s="309"/>
    </row>
    <row r="356">
      <c r="D356" s="309"/>
      <c r="E356" s="309"/>
      <c r="F356" s="309"/>
      <c r="G356" s="309"/>
      <c r="H356" s="309"/>
      <c r="I356" s="309"/>
    </row>
    <row r="357">
      <c r="D357" s="309"/>
      <c r="E357" s="309"/>
      <c r="F357" s="309"/>
      <c r="G357" s="309"/>
      <c r="H357" s="309"/>
      <c r="I357" s="309"/>
    </row>
    <row r="358">
      <c r="D358" s="309"/>
      <c r="E358" s="309"/>
      <c r="F358" s="309"/>
      <c r="G358" s="309"/>
      <c r="H358" s="309"/>
      <c r="I358" s="309"/>
    </row>
    <row r="359">
      <c r="D359" s="309"/>
      <c r="E359" s="309"/>
      <c r="F359" s="309"/>
      <c r="G359" s="309"/>
      <c r="H359" s="309"/>
      <c r="I359" s="309"/>
    </row>
    <row r="360">
      <c r="D360" s="309"/>
      <c r="E360" s="309"/>
      <c r="F360" s="309"/>
      <c r="G360" s="309"/>
      <c r="H360" s="309"/>
      <c r="I360" s="309"/>
    </row>
    <row r="361">
      <c r="D361" s="309"/>
      <c r="E361" s="309"/>
      <c r="F361" s="309"/>
      <c r="G361" s="309"/>
      <c r="H361" s="309"/>
      <c r="I361" s="309"/>
    </row>
    <row r="362">
      <c r="D362" s="309"/>
      <c r="E362" s="309"/>
      <c r="F362" s="309"/>
      <c r="G362" s="309"/>
      <c r="H362" s="309"/>
      <c r="I362" s="309"/>
    </row>
    <row r="363">
      <c r="D363" s="309"/>
      <c r="E363" s="309"/>
      <c r="F363" s="309"/>
      <c r="G363" s="309"/>
      <c r="H363" s="309"/>
      <c r="I363" s="309"/>
    </row>
    <row r="364">
      <c r="D364" s="309"/>
      <c r="E364" s="309"/>
      <c r="F364" s="309"/>
      <c r="G364" s="309"/>
      <c r="H364" s="309"/>
      <c r="I364" s="309"/>
    </row>
    <row r="365">
      <c r="D365" s="309"/>
      <c r="E365" s="309"/>
      <c r="F365" s="309"/>
      <c r="G365" s="309"/>
      <c r="H365" s="309"/>
      <c r="I365" s="309"/>
    </row>
    <row r="366">
      <c r="D366" s="309"/>
      <c r="E366" s="309"/>
      <c r="F366" s="309"/>
      <c r="G366" s="309"/>
      <c r="H366" s="309"/>
      <c r="I366" s="309"/>
    </row>
    <row r="367">
      <c r="D367" s="309"/>
      <c r="E367" s="309"/>
      <c r="F367" s="309"/>
      <c r="G367" s="309"/>
      <c r="H367" s="309"/>
      <c r="I367" s="309"/>
    </row>
    <row r="368">
      <c r="D368" s="309"/>
      <c r="E368" s="309"/>
      <c r="F368" s="309"/>
      <c r="G368" s="309"/>
      <c r="H368" s="309"/>
      <c r="I368" s="309"/>
    </row>
    <row r="369">
      <c r="D369" s="309"/>
      <c r="E369" s="309"/>
      <c r="F369" s="309"/>
      <c r="G369" s="309"/>
      <c r="H369" s="309"/>
      <c r="I369" s="309"/>
    </row>
    <row r="370">
      <c r="D370" s="309"/>
      <c r="E370" s="309"/>
      <c r="F370" s="309"/>
      <c r="G370" s="309"/>
      <c r="H370" s="309"/>
      <c r="I370" s="309"/>
    </row>
    <row r="371">
      <c r="D371" s="309"/>
      <c r="E371" s="309"/>
      <c r="F371" s="309"/>
      <c r="G371" s="309"/>
      <c r="H371" s="309"/>
      <c r="I371" s="309"/>
    </row>
    <row r="372">
      <c r="D372" s="309"/>
      <c r="E372" s="309"/>
      <c r="F372" s="309"/>
      <c r="G372" s="309"/>
      <c r="H372" s="309"/>
      <c r="I372" s="309"/>
    </row>
    <row r="373">
      <c r="D373" s="309"/>
      <c r="E373" s="309"/>
      <c r="F373" s="309"/>
      <c r="G373" s="309"/>
      <c r="H373" s="309"/>
      <c r="I373" s="309"/>
    </row>
    <row r="374">
      <c r="D374" s="309"/>
      <c r="E374" s="309"/>
      <c r="F374" s="309"/>
      <c r="G374" s="309"/>
      <c r="H374" s="309"/>
      <c r="I374" s="309"/>
    </row>
    <row r="375">
      <c r="D375" s="309"/>
      <c r="E375" s="309"/>
      <c r="F375" s="309"/>
      <c r="G375" s="309"/>
      <c r="H375" s="309"/>
      <c r="I375" s="309"/>
    </row>
    <row r="376">
      <c r="D376" s="309"/>
      <c r="E376" s="309"/>
      <c r="F376" s="309"/>
      <c r="G376" s="309"/>
      <c r="H376" s="309"/>
      <c r="I376" s="309"/>
    </row>
    <row r="377">
      <c r="D377" s="309"/>
      <c r="E377" s="309"/>
      <c r="F377" s="309"/>
      <c r="G377" s="309"/>
      <c r="H377" s="309"/>
      <c r="I377" s="309"/>
    </row>
    <row r="378">
      <c r="D378" s="309"/>
      <c r="E378" s="309"/>
      <c r="F378" s="309"/>
      <c r="G378" s="309"/>
      <c r="H378" s="309"/>
      <c r="I378" s="309"/>
    </row>
    <row r="379">
      <c r="D379" s="309"/>
      <c r="E379" s="309"/>
      <c r="F379" s="309"/>
      <c r="G379" s="309"/>
      <c r="H379" s="309"/>
      <c r="I379" s="309"/>
    </row>
    <row r="380">
      <c r="D380" s="309"/>
      <c r="E380" s="309"/>
      <c r="F380" s="309"/>
      <c r="G380" s="309"/>
      <c r="H380" s="309"/>
      <c r="I380" s="309"/>
    </row>
    <row r="381">
      <c r="D381" s="309"/>
      <c r="E381" s="309"/>
      <c r="F381" s="309"/>
      <c r="G381" s="309"/>
      <c r="H381" s="309"/>
      <c r="I381" s="309"/>
    </row>
    <row r="382">
      <c r="D382" s="309"/>
      <c r="E382" s="309"/>
      <c r="F382" s="309"/>
      <c r="G382" s="309"/>
      <c r="H382" s="309"/>
      <c r="I382" s="309"/>
    </row>
    <row r="383">
      <c r="D383" s="309"/>
      <c r="E383" s="309"/>
      <c r="F383" s="309"/>
      <c r="G383" s="309"/>
      <c r="H383" s="309"/>
      <c r="I383" s="309"/>
    </row>
    <row r="384">
      <c r="D384" s="309"/>
      <c r="E384" s="309"/>
      <c r="F384" s="309"/>
      <c r="G384" s="309"/>
      <c r="H384" s="309"/>
      <c r="I384" s="309"/>
    </row>
    <row r="385">
      <c r="D385" s="309"/>
      <c r="E385" s="309"/>
      <c r="F385" s="309"/>
      <c r="G385" s="309"/>
      <c r="H385" s="309"/>
      <c r="I385" s="309"/>
    </row>
    <row r="386">
      <c r="D386" s="309"/>
      <c r="E386" s="309"/>
      <c r="F386" s="309"/>
      <c r="G386" s="309"/>
      <c r="H386" s="309"/>
      <c r="I386" s="309"/>
    </row>
    <row r="387">
      <c r="D387" s="309"/>
      <c r="E387" s="309"/>
      <c r="F387" s="309"/>
      <c r="G387" s="309"/>
      <c r="H387" s="309"/>
      <c r="I387" s="309"/>
    </row>
    <row r="388">
      <c r="D388" s="309"/>
      <c r="E388" s="309"/>
      <c r="F388" s="309"/>
      <c r="G388" s="309"/>
      <c r="H388" s="309"/>
      <c r="I388" s="309"/>
    </row>
    <row r="389">
      <c r="D389" s="309"/>
      <c r="E389" s="309"/>
      <c r="F389" s="309"/>
      <c r="G389" s="309"/>
      <c r="H389" s="309"/>
      <c r="I389" s="309"/>
    </row>
    <row r="390">
      <c r="D390" s="309"/>
      <c r="E390" s="309"/>
      <c r="F390" s="309"/>
      <c r="G390" s="309"/>
      <c r="H390" s="309"/>
      <c r="I390" s="309"/>
    </row>
    <row r="391">
      <c r="D391" s="309"/>
      <c r="E391" s="309"/>
      <c r="F391" s="309"/>
      <c r="G391" s="309"/>
      <c r="H391" s="309"/>
      <c r="I391" s="309"/>
    </row>
    <row r="392">
      <c r="D392" s="309"/>
      <c r="E392" s="309"/>
      <c r="F392" s="309"/>
      <c r="G392" s="309"/>
      <c r="H392" s="309"/>
      <c r="I392" s="309"/>
    </row>
    <row r="393">
      <c r="D393" s="309"/>
      <c r="E393" s="309"/>
      <c r="F393" s="309"/>
      <c r="G393" s="309"/>
      <c r="H393" s="309"/>
      <c r="I393" s="309"/>
    </row>
    <row r="394">
      <c r="D394" s="309"/>
      <c r="E394" s="309"/>
      <c r="F394" s="309"/>
      <c r="G394" s="309"/>
      <c r="H394" s="309"/>
      <c r="I394" s="309"/>
    </row>
    <row r="395">
      <c r="D395" s="309"/>
      <c r="E395" s="309"/>
      <c r="F395" s="309"/>
      <c r="G395" s="309"/>
      <c r="H395" s="309"/>
      <c r="I395" s="309"/>
    </row>
    <row r="396">
      <c r="D396" s="309"/>
      <c r="E396" s="309"/>
      <c r="F396" s="309"/>
      <c r="G396" s="309"/>
      <c r="H396" s="309"/>
      <c r="I396" s="309"/>
    </row>
    <row r="397">
      <c r="D397" s="309"/>
      <c r="E397" s="309"/>
      <c r="F397" s="309"/>
      <c r="G397" s="309"/>
      <c r="H397" s="309"/>
      <c r="I397" s="309"/>
    </row>
    <row r="398">
      <c r="D398" s="309"/>
      <c r="E398" s="309"/>
      <c r="F398" s="309"/>
      <c r="G398" s="309"/>
      <c r="H398" s="309"/>
      <c r="I398" s="309"/>
    </row>
    <row r="399">
      <c r="D399" s="309"/>
      <c r="E399" s="309"/>
      <c r="F399" s="309"/>
      <c r="G399" s="309"/>
      <c r="H399" s="309"/>
      <c r="I399" s="309"/>
    </row>
    <row r="400">
      <c r="D400" s="309"/>
      <c r="E400" s="309"/>
      <c r="F400" s="309"/>
      <c r="G400" s="309"/>
      <c r="H400" s="309"/>
      <c r="I400" s="309"/>
    </row>
    <row r="401">
      <c r="D401" s="309"/>
      <c r="E401" s="309"/>
      <c r="F401" s="309"/>
      <c r="G401" s="309"/>
      <c r="H401" s="309"/>
      <c r="I401" s="309"/>
    </row>
    <row r="402">
      <c r="D402" s="309"/>
      <c r="E402" s="309"/>
      <c r="F402" s="309"/>
      <c r="G402" s="309"/>
      <c r="H402" s="309"/>
      <c r="I402" s="309"/>
    </row>
    <row r="403">
      <c r="D403" s="309"/>
      <c r="E403" s="309"/>
      <c r="F403" s="309"/>
      <c r="G403" s="309"/>
      <c r="H403" s="309"/>
      <c r="I403" s="309"/>
    </row>
    <row r="404">
      <c r="D404" s="309"/>
      <c r="E404" s="309"/>
      <c r="F404" s="309"/>
      <c r="G404" s="309"/>
      <c r="H404" s="309"/>
      <c r="I404" s="309"/>
    </row>
    <row r="405">
      <c r="D405" s="309"/>
      <c r="E405" s="309"/>
      <c r="F405" s="309"/>
      <c r="G405" s="309"/>
      <c r="H405" s="309"/>
      <c r="I405" s="309"/>
    </row>
    <row r="406">
      <c r="D406" s="309"/>
      <c r="E406" s="309"/>
      <c r="F406" s="309"/>
      <c r="G406" s="309"/>
      <c r="H406" s="309"/>
      <c r="I406" s="309"/>
    </row>
    <row r="407">
      <c r="D407" s="309"/>
      <c r="E407" s="309"/>
      <c r="F407" s="309"/>
      <c r="G407" s="309"/>
      <c r="H407" s="309"/>
      <c r="I407" s="309"/>
    </row>
    <row r="408">
      <c r="D408" s="309"/>
      <c r="E408" s="309"/>
      <c r="F408" s="309"/>
      <c r="G408" s="309"/>
      <c r="H408" s="309"/>
      <c r="I408" s="309"/>
    </row>
    <row r="409">
      <c r="D409" s="309"/>
      <c r="E409" s="309"/>
      <c r="F409" s="309"/>
      <c r="G409" s="309"/>
      <c r="H409" s="309"/>
      <c r="I409" s="309"/>
    </row>
    <row r="410">
      <c r="D410" s="309"/>
      <c r="E410" s="309"/>
      <c r="F410" s="309"/>
      <c r="G410" s="309"/>
      <c r="H410" s="309"/>
      <c r="I410" s="309"/>
    </row>
    <row r="411">
      <c r="D411" s="309"/>
      <c r="E411" s="309"/>
      <c r="F411" s="309"/>
      <c r="G411" s="309"/>
      <c r="H411" s="309"/>
      <c r="I411" s="309"/>
    </row>
    <row r="412">
      <c r="D412" s="309"/>
      <c r="E412" s="309"/>
      <c r="F412" s="309"/>
      <c r="G412" s="309"/>
      <c r="H412" s="309"/>
      <c r="I412" s="309"/>
    </row>
    <row r="413">
      <c r="D413" s="309"/>
      <c r="E413" s="309"/>
      <c r="F413" s="309"/>
      <c r="G413" s="309"/>
      <c r="H413" s="309"/>
      <c r="I413" s="309"/>
    </row>
    <row r="414">
      <c r="D414" s="309"/>
      <c r="E414" s="309"/>
      <c r="F414" s="309"/>
      <c r="G414" s="309"/>
      <c r="H414" s="309"/>
      <c r="I414" s="309"/>
    </row>
    <row r="415">
      <c r="D415" s="309"/>
      <c r="E415" s="309"/>
      <c r="F415" s="309"/>
      <c r="G415" s="309"/>
      <c r="H415" s="309"/>
      <c r="I415" s="309"/>
    </row>
    <row r="416">
      <c r="D416" s="309"/>
      <c r="E416" s="309"/>
      <c r="F416" s="309"/>
      <c r="G416" s="309"/>
      <c r="H416" s="309"/>
      <c r="I416" s="309"/>
    </row>
    <row r="417">
      <c r="D417" s="309"/>
      <c r="E417" s="309"/>
      <c r="F417" s="309"/>
      <c r="G417" s="309"/>
      <c r="H417" s="309"/>
      <c r="I417" s="309"/>
    </row>
    <row r="418">
      <c r="D418" s="309"/>
      <c r="E418" s="309"/>
      <c r="F418" s="309"/>
      <c r="G418" s="309"/>
      <c r="H418" s="309"/>
      <c r="I418" s="309"/>
    </row>
    <row r="419">
      <c r="D419" s="309"/>
      <c r="E419" s="309"/>
      <c r="F419" s="309"/>
      <c r="G419" s="309"/>
      <c r="H419" s="309"/>
      <c r="I419" s="309"/>
    </row>
    <row r="420">
      <c r="D420" s="309"/>
      <c r="E420" s="309"/>
      <c r="F420" s="309"/>
      <c r="G420" s="309"/>
      <c r="H420" s="309"/>
      <c r="I420" s="309"/>
    </row>
    <row r="421">
      <c r="D421" s="309"/>
      <c r="E421" s="309"/>
      <c r="F421" s="309"/>
      <c r="G421" s="309"/>
      <c r="H421" s="309"/>
      <c r="I421" s="309"/>
    </row>
    <row r="422">
      <c r="D422" s="309"/>
      <c r="E422" s="309"/>
      <c r="F422" s="309"/>
      <c r="G422" s="309"/>
      <c r="H422" s="309"/>
      <c r="I422" s="309"/>
    </row>
    <row r="423">
      <c r="D423" s="309"/>
      <c r="E423" s="309"/>
      <c r="F423" s="309"/>
      <c r="G423" s="309"/>
      <c r="H423" s="309"/>
      <c r="I423" s="309"/>
    </row>
    <row r="424">
      <c r="D424" s="309"/>
      <c r="E424" s="309"/>
      <c r="F424" s="309"/>
      <c r="G424" s="309"/>
      <c r="H424" s="309"/>
      <c r="I424" s="309"/>
    </row>
    <row r="425">
      <c r="D425" s="309"/>
      <c r="E425" s="309"/>
      <c r="F425" s="309"/>
      <c r="G425" s="309"/>
      <c r="H425" s="309"/>
      <c r="I425" s="309"/>
    </row>
    <row r="426">
      <c r="D426" s="309"/>
      <c r="E426" s="309"/>
      <c r="F426" s="309"/>
      <c r="G426" s="309"/>
      <c r="H426" s="309"/>
      <c r="I426" s="309"/>
    </row>
    <row r="427">
      <c r="D427" s="309"/>
      <c r="E427" s="309"/>
      <c r="F427" s="309"/>
      <c r="G427" s="309"/>
      <c r="H427" s="309"/>
      <c r="I427" s="309"/>
    </row>
    <row r="428">
      <c r="D428" s="309"/>
      <c r="E428" s="309"/>
      <c r="F428" s="309"/>
      <c r="G428" s="309"/>
      <c r="H428" s="309"/>
      <c r="I428" s="309"/>
    </row>
    <row r="429">
      <c r="D429" s="309"/>
      <c r="E429" s="309"/>
      <c r="F429" s="309"/>
      <c r="G429" s="309"/>
      <c r="H429" s="309"/>
      <c r="I429" s="309"/>
    </row>
    <row r="430">
      <c r="D430" s="309"/>
      <c r="E430" s="309"/>
      <c r="F430" s="309"/>
      <c r="G430" s="309"/>
      <c r="H430" s="309"/>
      <c r="I430" s="309"/>
    </row>
    <row r="431">
      <c r="D431" s="309"/>
      <c r="E431" s="309"/>
      <c r="F431" s="309"/>
      <c r="G431" s="309"/>
      <c r="H431" s="309"/>
      <c r="I431" s="309"/>
    </row>
    <row r="432">
      <c r="D432" s="309"/>
      <c r="E432" s="309"/>
      <c r="F432" s="309"/>
      <c r="G432" s="309"/>
      <c r="H432" s="309"/>
      <c r="I432" s="309"/>
    </row>
    <row r="433">
      <c r="D433" s="309"/>
      <c r="E433" s="309"/>
      <c r="F433" s="309"/>
      <c r="G433" s="309"/>
      <c r="H433" s="309"/>
      <c r="I433" s="309"/>
    </row>
    <row r="434">
      <c r="D434" s="309"/>
      <c r="E434" s="309"/>
      <c r="F434" s="309"/>
      <c r="G434" s="309"/>
      <c r="H434" s="309"/>
      <c r="I434" s="309"/>
    </row>
    <row r="435">
      <c r="D435" s="309"/>
      <c r="E435" s="309"/>
      <c r="F435" s="309"/>
      <c r="G435" s="309"/>
      <c r="H435" s="309"/>
      <c r="I435" s="309"/>
    </row>
    <row r="436">
      <c r="D436" s="309"/>
      <c r="E436" s="309"/>
      <c r="F436" s="309"/>
      <c r="G436" s="309"/>
      <c r="H436" s="309"/>
      <c r="I436" s="309"/>
    </row>
    <row r="437">
      <c r="D437" s="309"/>
      <c r="E437" s="309"/>
      <c r="F437" s="309"/>
      <c r="G437" s="309"/>
      <c r="H437" s="309"/>
      <c r="I437" s="309"/>
    </row>
    <row r="438">
      <c r="D438" s="309"/>
      <c r="E438" s="309"/>
      <c r="F438" s="309"/>
      <c r="G438" s="309"/>
      <c r="H438" s="309"/>
      <c r="I438" s="309"/>
    </row>
    <row r="439">
      <c r="D439" s="309"/>
      <c r="E439" s="309"/>
      <c r="F439" s="309"/>
      <c r="G439" s="309"/>
      <c r="H439" s="309"/>
      <c r="I439" s="309"/>
    </row>
    <row r="440">
      <c r="D440" s="309"/>
      <c r="E440" s="309"/>
      <c r="F440" s="309"/>
      <c r="G440" s="309"/>
      <c r="H440" s="309"/>
      <c r="I440" s="309"/>
    </row>
    <row r="441">
      <c r="D441" s="309"/>
      <c r="E441" s="309"/>
      <c r="F441" s="309"/>
      <c r="G441" s="309"/>
      <c r="H441" s="309"/>
      <c r="I441" s="309"/>
    </row>
    <row r="442">
      <c r="D442" s="309"/>
      <c r="E442" s="309"/>
      <c r="F442" s="309"/>
      <c r="G442" s="309"/>
      <c r="H442" s="309"/>
      <c r="I442" s="309"/>
    </row>
    <row r="443">
      <c r="D443" s="309"/>
      <c r="E443" s="309"/>
      <c r="F443" s="309"/>
      <c r="G443" s="309"/>
      <c r="H443" s="309"/>
      <c r="I443" s="309"/>
    </row>
    <row r="444">
      <c r="D444" s="309"/>
      <c r="E444" s="309"/>
      <c r="F444" s="309"/>
      <c r="G444" s="309"/>
      <c r="H444" s="309"/>
      <c r="I444" s="309"/>
    </row>
    <row r="445">
      <c r="D445" s="309"/>
      <c r="E445" s="309"/>
      <c r="F445" s="309"/>
      <c r="G445" s="309"/>
      <c r="H445" s="309"/>
      <c r="I445" s="309"/>
    </row>
    <row r="446">
      <c r="D446" s="309"/>
      <c r="E446" s="309"/>
      <c r="F446" s="309"/>
      <c r="G446" s="309"/>
      <c r="H446" s="309"/>
      <c r="I446" s="309"/>
    </row>
    <row r="447">
      <c r="D447" s="309"/>
      <c r="E447" s="309"/>
      <c r="F447" s="309"/>
      <c r="G447" s="309"/>
      <c r="H447" s="309"/>
      <c r="I447" s="309"/>
    </row>
    <row r="448">
      <c r="D448" s="309"/>
      <c r="E448" s="309"/>
      <c r="F448" s="309"/>
      <c r="G448" s="309"/>
      <c r="H448" s="309"/>
      <c r="I448" s="309"/>
    </row>
    <row r="449">
      <c r="D449" s="309"/>
      <c r="E449" s="309"/>
      <c r="F449" s="309"/>
      <c r="G449" s="309"/>
      <c r="H449" s="309"/>
      <c r="I449" s="309"/>
    </row>
    <row r="450">
      <c r="D450" s="309"/>
      <c r="E450" s="309"/>
      <c r="F450" s="309"/>
      <c r="G450" s="309"/>
      <c r="H450" s="309"/>
      <c r="I450" s="309"/>
    </row>
    <row r="451">
      <c r="D451" s="309"/>
      <c r="E451" s="309"/>
      <c r="F451" s="309"/>
      <c r="G451" s="309"/>
      <c r="H451" s="309"/>
      <c r="I451" s="309"/>
    </row>
    <row r="452">
      <c r="D452" s="309"/>
      <c r="E452" s="309"/>
      <c r="F452" s="309"/>
      <c r="G452" s="309"/>
      <c r="H452" s="309"/>
      <c r="I452" s="309"/>
    </row>
    <row r="453">
      <c r="D453" s="309"/>
      <c r="E453" s="309"/>
      <c r="F453" s="309"/>
      <c r="G453" s="309"/>
      <c r="H453" s="309"/>
      <c r="I453" s="309"/>
    </row>
    <row r="454">
      <c r="D454" s="309"/>
      <c r="E454" s="309"/>
      <c r="F454" s="309"/>
      <c r="G454" s="309"/>
      <c r="H454" s="309"/>
      <c r="I454" s="309"/>
    </row>
    <row r="455">
      <c r="D455" s="309"/>
      <c r="E455" s="309"/>
      <c r="F455" s="309"/>
      <c r="G455" s="309"/>
      <c r="H455" s="309"/>
      <c r="I455" s="309"/>
    </row>
    <row r="456">
      <c r="D456" s="309"/>
      <c r="E456" s="309"/>
      <c r="F456" s="309"/>
      <c r="G456" s="309"/>
      <c r="H456" s="309"/>
      <c r="I456" s="309"/>
    </row>
    <row r="457">
      <c r="D457" s="309"/>
      <c r="E457" s="309"/>
      <c r="F457" s="309"/>
      <c r="G457" s="309"/>
      <c r="H457" s="309"/>
      <c r="I457" s="309"/>
    </row>
    <row r="458">
      <c r="D458" s="309"/>
      <c r="E458" s="309"/>
      <c r="F458" s="309"/>
      <c r="G458" s="309"/>
      <c r="H458" s="309"/>
      <c r="I458" s="309"/>
    </row>
    <row r="459">
      <c r="D459" s="309"/>
      <c r="E459" s="309"/>
      <c r="F459" s="309"/>
      <c r="G459" s="309"/>
      <c r="H459" s="309"/>
      <c r="I459" s="309"/>
    </row>
    <row r="460">
      <c r="D460" s="309"/>
      <c r="E460" s="309"/>
      <c r="F460" s="309"/>
      <c r="G460" s="309"/>
      <c r="H460" s="309"/>
      <c r="I460" s="309"/>
    </row>
    <row r="461">
      <c r="D461" s="309"/>
      <c r="E461" s="309"/>
      <c r="F461" s="309"/>
      <c r="G461" s="309"/>
      <c r="H461" s="309"/>
      <c r="I461" s="309"/>
    </row>
    <row r="462">
      <c r="D462" s="309"/>
      <c r="E462" s="309"/>
      <c r="F462" s="309"/>
      <c r="G462" s="309"/>
      <c r="H462" s="309"/>
      <c r="I462" s="309"/>
    </row>
    <row r="463">
      <c r="D463" s="309"/>
      <c r="E463" s="309"/>
      <c r="F463" s="309"/>
      <c r="G463" s="309"/>
      <c r="H463" s="309"/>
      <c r="I463" s="309"/>
    </row>
    <row r="464">
      <c r="D464" s="309"/>
      <c r="E464" s="309"/>
      <c r="F464" s="309"/>
      <c r="G464" s="309"/>
      <c r="H464" s="309"/>
      <c r="I464" s="309"/>
    </row>
    <row r="465">
      <c r="D465" s="309"/>
      <c r="E465" s="309"/>
      <c r="F465" s="309"/>
      <c r="G465" s="309"/>
      <c r="H465" s="309"/>
      <c r="I465" s="309"/>
    </row>
    <row r="466">
      <c r="D466" s="309"/>
      <c r="E466" s="309"/>
      <c r="F466" s="309"/>
      <c r="G466" s="309"/>
      <c r="H466" s="309"/>
      <c r="I466" s="309"/>
    </row>
    <row r="467">
      <c r="D467" s="309"/>
      <c r="E467" s="309"/>
      <c r="F467" s="309"/>
      <c r="G467" s="309"/>
      <c r="H467" s="309"/>
      <c r="I467" s="309"/>
    </row>
    <row r="468">
      <c r="D468" s="309"/>
      <c r="E468" s="309"/>
      <c r="F468" s="309"/>
      <c r="G468" s="309"/>
      <c r="H468" s="309"/>
      <c r="I468" s="309"/>
    </row>
    <row r="469">
      <c r="D469" s="309"/>
      <c r="E469" s="309"/>
      <c r="F469" s="309"/>
      <c r="G469" s="309"/>
      <c r="H469" s="309"/>
      <c r="I469" s="309"/>
    </row>
    <row r="470">
      <c r="D470" s="309"/>
      <c r="E470" s="309"/>
      <c r="F470" s="309"/>
      <c r="G470" s="309"/>
      <c r="H470" s="309"/>
      <c r="I470" s="309"/>
    </row>
    <row r="471">
      <c r="D471" s="309"/>
      <c r="E471" s="309"/>
      <c r="F471" s="309"/>
      <c r="G471" s="309"/>
      <c r="H471" s="309"/>
      <c r="I471" s="309"/>
    </row>
    <row r="472">
      <c r="D472" s="309"/>
      <c r="E472" s="309"/>
      <c r="F472" s="309"/>
      <c r="G472" s="309"/>
      <c r="H472" s="309"/>
      <c r="I472" s="309"/>
    </row>
    <row r="473">
      <c r="D473" s="309"/>
      <c r="E473" s="309"/>
      <c r="F473" s="309"/>
      <c r="G473" s="309"/>
      <c r="H473" s="309"/>
      <c r="I473" s="309"/>
    </row>
    <row r="474">
      <c r="D474" s="309"/>
      <c r="E474" s="309"/>
      <c r="F474" s="309"/>
      <c r="G474" s="309"/>
      <c r="H474" s="309"/>
      <c r="I474" s="309"/>
    </row>
    <row r="475">
      <c r="D475" s="309"/>
      <c r="E475" s="309"/>
      <c r="F475" s="309"/>
      <c r="G475" s="309"/>
      <c r="H475" s="309"/>
      <c r="I475" s="309"/>
    </row>
    <row r="476">
      <c r="D476" s="309"/>
      <c r="E476" s="309"/>
      <c r="F476" s="309"/>
      <c r="G476" s="309"/>
      <c r="H476" s="309"/>
      <c r="I476" s="309"/>
    </row>
    <row r="477">
      <c r="D477" s="309"/>
      <c r="E477" s="309"/>
      <c r="F477" s="309"/>
      <c r="G477" s="309"/>
      <c r="H477" s="309"/>
      <c r="I477" s="309"/>
    </row>
    <row r="478">
      <c r="D478" s="309"/>
      <c r="E478" s="309"/>
      <c r="F478" s="309"/>
      <c r="G478" s="309"/>
      <c r="H478" s="309"/>
      <c r="I478" s="309"/>
    </row>
    <row r="479">
      <c r="D479" s="309"/>
      <c r="E479" s="309"/>
      <c r="F479" s="309"/>
      <c r="G479" s="309"/>
      <c r="H479" s="309"/>
      <c r="I479" s="309"/>
    </row>
    <row r="480">
      <c r="D480" s="309"/>
      <c r="E480" s="309"/>
      <c r="F480" s="309"/>
      <c r="G480" s="309"/>
      <c r="H480" s="309"/>
      <c r="I480" s="309"/>
    </row>
    <row r="481">
      <c r="D481" s="309"/>
      <c r="E481" s="309"/>
      <c r="F481" s="309"/>
      <c r="G481" s="309"/>
      <c r="H481" s="309"/>
      <c r="I481" s="309"/>
    </row>
    <row r="482">
      <c r="D482" s="309"/>
      <c r="E482" s="309"/>
      <c r="F482" s="309"/>
      <c r="G482" s="309"/>
      <c r="H482" s="309"/>
      <c r="I482" s="309"/>
    </row>
    <row r="483">
      <c r="D483" s="309"/>
      <c r="E483" s="309"/>
      <c r="F483" s="309"/>
      <c r="G483" s="309"/>
      <c r="H483" s="309"/>
      <c r="I483" s="309"/>
    </row>
    <row r="484">
      <c r="D484" s="309"/>
      <c r="E484" s="309"/>
      <c r="F484" s="309"/>
      <c r="G484" s="309"/>
      <c r="H484" s="309"/>
      <c r="I484" s="309"/>
    </row>
    <row r="485">
      <c r="D485" s="309"/>
      <c r="E485" s="309"/>
      <c r="F485" s="309"/>
      <c r="G485" s="309"/>
      <c r="H485" s="309"/>
      <c r="I485" s="309"/>
    </row>
    <row r="486">
      <c r="D486" s="309"/>
      <c r="E486" s="309"/>
      <c r="F486" s="309"/>
      <c r="G486" s="309"/>
      <c r="H486" s="309"/>
      <c r="I486" s="309"/>
    </row>
    <row r="487">
      <c r="D487" s="309"/>
      <c r="E487" s="309"/>
      <c r="F487" s="309"/>
      <c r="G487" s="309"/>
      <c r="H487" s="309"/>
      <c r="I487" s="309"/>
    </row>
    <row r="488">
      <c r="D488" s="309"/>
      <c r="E488" s="309"/>
      <c r="F488" s="309"/>
      <c r="G488" s="309"/>
      <c r="H488" s="309"/>
      <c r="I488" s="309"/>
    </row>
    <row r="489">
      <c r="D489" s="309"/>
      <c r="E489" s="309"/>
      <c r="F489" s="309"/>
      <c r="G489" s="309"/>
      <c r="H489" s="309"/>
      <c r="I489" s="309"/>
    </row>
    <row r="490">
      <c r="D490" s="309"/>
      <c r="E490" s="309"/>
      <c r="F490" s="309"/>
      <c r="G490" s="309"/>
      <c r="H490" s="309"/>
      <c r="I490" s="309"/>
    </row>
    <row r="491">
      <c r="D491" s="309"/>
      <c r="E491" s="309"/>
      <c r="F491" s="309"/>
      <c r="G491" s="309"/>
      <c r="H491" s="309"/>
      <c r="I491" s="309"/>
    </row>
    <row r="492">
      <c r="D492" s="309"/>
      <c r="E492" s="309"/>
      <c r="F492" s="309"/>
      <c r="G492" s="309"/>
      <c r="H492" s="309"/>
      <c r="I492" s="309"/>
    </row>
    <row r="493">
      <c r="D493" s="309"/>
      <c r="E493" s="309"/>
      <c r="F493" s="309"/>
      <c r="G493" s="309"/>
      <c r="H493" s="309"/>
      <c r="I493" s="309"/>
    </row>
    <row r="494">
      <c r="D494" s="309"/>
      <c r="E494" s="309"/>
      <c r="F494" s="309"/>
      <c r="G494" s="309"/>
      <c r="H494" s="309"/>
      <c r="I494" s="309"/>
    </row>
    <row r="495">
      <c r="D495" s="309"/>
      <c r="E495" s="309"/>
      <c r="F495" s="309"/>
      <c r="G495" s="309"/>
      <c r="H495" s="309"/>
      <c r="I495" s="309"/>
    </row>
    <row r="496">
      <c r="D496" s="309"/>
      <c r="E496" s="309"/>
      <c r="F496" s="309"/>
      <c r="G496" s="309"/>
      <c r="H496" s="309"/>
      <c r="I496" s="309"/>
    </row>
    <row r="497">
      <c r="D497" s="309"/>
      <c r="E497" s="309"/>
      <c r="F497" s="309"/>
      <c r="G497" s="309"/>
      <c r="H497" s="309"/>
      <c r="I497" s="309"/>
    </row>
    <row r="498">
      <c r="D498" s="309"/>
      <c r="E498" s="309"/>
      <c r="F498" s="309"/>
      <c r="G498" s="309"/>
      <c r="H498" s="309"/>
      <c r="I498" s="309"/>
    </row>
    <row r="499">
      <c r="D499" s="309"/>
      <c r="E499" s="309"/>
      <c r="F499" s="309"/>
      <c r="G499" s="309"/>
      <c r="H499" s="309"/>
      <c r="I499" s="309"/>
    </row>
    <row r="500">
      <c r="D500" s="309"/>
      <c r="E500" s="309"/>
      <c r="F500" s="309"/>
      <c r="G500" s="309"/>
      <c r="H500" s="309"/>
      <c r="I500" s="309"/>
    </row>
    <row r="501">
      <c r="D501" s="309"/>
      <c r="E501" s="309"/>
      <c r="F501" s="309"/>
      <c r="G501" s="309"/>
      <c r="H501" s="309"/>
      <c r="I501" s="309"/>
    </row>
    <row r="502">
      <c r="D502" s="309"/>
      <c r="E502" s="309"/>
      <c r="F502" s="309"/>
      <c r="G502" s="309"/>
      <c r="H502" s="309"/>
      <c r="I502" s="309"/>
    </row>
    <row r="503">
      <c r="D503" s="309"/>
      <c r="E503" s="309"/>
      <c r="F503" s="309"/>
      <c r="G503" s="309"/>
      <c r="H503" s="309"/>
      <c r="I503" s="309"/>
    </row>
    <row r="504">
      <c r="D504" s="309"/>
      <c r="E504" s="309"/>
      <c r="F504" s="309"/>
      <c r="G504" s="309"/>
      <c r="H504" s="309"/>
      <c r="I504" s="309"/>
    </row>
    <row r="505">
      <c r="D505" s="309"/>
      <c r="E505" s="309"/>
      <c r="F505" s="309"/>
      <c r="G505" s="309"/>
      <c r="H505" s="309"/>
      <c r="I505" s="309"/>
    </row>
    <row r="506">
      <c r="D506" s="309"/>
      <c r="E506" s="309"/>
      <c r="F506" s="309"/>
      <c r="G506" s="309"/>
      <c r="H506" s="309"/>
      <c r="I506" s="309"/>
    </row>
    <row r="507">
      <c r="D507" s="309"/>
      <c r="E507" s="309"/>
      <c r="F507" s="309"/>
      <c r="G507" s="309"/>
      <c r="H507" s="309"/>
      <c r="I507" s="309"/>
    </row>
    <row r="508">
      <c r="D508" s="309"/>
      <c r="E508" s="309"/>
      <c r="F508" s="309"/>
      <c r="G508" s="309"/>
      <c r="H508" s="309"/>
      <c r="I508" s="309"/>
    </row>
    <row r="509">
      <c r="D509" s="309"/>
      <c r="E509" s="309"/>
      <c r="F509" s="309"/>
      <c r="G509" s="309"/>
      <c r="H509" s="309"/>
      <c r="I509" s="309"/>
    </row>
    <row r="510">
      <c r="D510" s="309"/>
      <c r="E510" s="309"/>
      <c r="F510" s="309"/>
      <c r="G510" s="309"/>
      <c r="H510" s="309"/>
      <c r="I510" s="309"/>
    </row>
    <row r="511">
      <c r="D511" s="309"/>
      <c r="E511" s="309"/>
      <c r="F511" s="309"/>
      <c r="G511" s="309"/>
      <c r="H511" s="309"/>
      <c r="I511" s="309"/>
    </row>
    <row r="512">
      <c r="D512" s="309"/>
      <c r="E512" s="309"/>
      <c r="F512" s="309"/>
      <c r="G512" s="309"/>
      <c r="H512" s="309"/>
      <c r="I512" s="309"/>
    </row>
    <row r="513">
      <c r="D513" s="309"/>
      <c r="E513" s="309"/>
      <c r="F513" s="309"/>
      <c r="G513" s="309"/>
      <c r="H513" s="309"/>
      <c r="I513" s="309"/>
    </row>
    <row r="514">
      <c r="D514" s="309"/>
      <c r="E514" s="309"/>
      <c r="F514" s="309"/>
      <c r="G514" s="309"/>
      <c r="H514" s="309"/>
      <c r="I514" s="309"/>
    </row>
    <row r="515">
      <c r="D515" s="309"/>
      <c r="E515" s="309"/>
      <c r="F515" s="309"/>
      <c r="G515" s="309"/>
      <c r="H515" s="309"/>
      <c r="I515" s="309"/>
    </row>
    <row r="516">
      <c r="D516" s="309"/>
      <c r="E516" s="309"/>
      <c r="F516" s="309"/>
      <c r="G516" s="309"/>
      <c r="H516" s="309"/>
      <c r="I516" s="309"/>
    </row>
    <row r="517">
      <c r="D517" s="309"/>
      <c r="E517" s="309"/>
      <c r="F517" s="309"/>
      <c r="G517" s="309"/>
      <c r="H517" s="309"/>
      <c r="I517" s="309"/>
    </row>
    <row r="518">
      <c r="D518" s="309"/>
      <c r="E518" s="309"/>
      <c r="F518" s="309"/>
      <c r="G518" s="309"/>
      <c r="H518" s="309"/>
      <c r="I518" s="309"/>
    </row>
    <row r="519">
      <c r="D519" s="309"/>
      <c r="E519" s="309"/>
      <c r="F519" s="309"/>
      <c r="G519" s="309"/>
      <c r="H519" s="309"/>
      <c r="I519" s="309"/>
    </row>
    <row r="520">
      <c r="D520" s="309"/>
      <c r="E520" s="309"/>
      <c r="F520" s="309"/>
      <c r="G520" s="309"/>
      <c r="H520" s="309"/>
      <c r="I520" s="309"/>
    </row>
    <row r="521">
      <c r="D521" s="309"/>
      <c r="E521" s="309"/>
      <c r="F521" s="309"/>
      <c r="G521" s="309"/>
      <c r="H521" s="309"/>
      <c r="I521" s="309"/>
    </row>
    <row r="522">
      <c r="D522" s="309"/>
      <c r="E522" s="309"/>
      <c r="F522" s="309"/>
      <c r="G522" s="309"/>
      <c r="H522" s="309"/>
      <c r="I522" s="309"/>
    </row>
    <row r="523">
      <c r="D523" s="309"/>
      <c r="E523" s="309"/>
      <c r="F523" s="309"/>
      <c r="G523" s="309"/>
      <c r="H523" s="309"/>
      <c r="I523" s="309"/>
    </row>
    <row r="524">
      <c r="D524" s="309"/>
      <c r="E524" s="309"/>
      <c r="F524" s="309"/>
      <c r="G524" s="309"/>
      <c r="H524" s="309"/>
      <c r="I524" s="309"/>
    </row>
    <row r="525">
      <c r="D525" s="309"/>
      <c r="E525" s="309"/>
      <c r="F525" s="309"/>
      <c r="G525" s="309"/>
      <c r="H525" s="309"/>
      <c r="I525" s="309"/>
    </row>
    <row r="526">
      <c r="D526" s="309"/>
      <c r="E526" s="309"/>
      <c r="F526" s="309"/>
      <c r="G526" s="309"/>
      <c r="H526" s="309"/>
      <c r="I526" s="309"/>
    </row>
    <row r="527">
      <c r="D527" s="309"/>
      <c r="E527" s="309"/>
      <c r="F527" s="309"/>
      <c r="G527" s="309"/>
      <c r="H527" s="309"/>
      <c r="I527" s="309"/>
    </row>
    <row r="528">
      <c r="D528" s="309"/>
      <c r="E528" s="309"/>
      <c r="F528" s="309"/>
      <c r="G528" s="309"/>
      <c r="H528" s="309"/>
      <c r="I528" s="309"/>
    </row>
    <row r="529">
      <c r="D529" s="309"/>
      <c r="E529" s="309"/>
      <c r="F529" s="309"/>
      <c r="G529" s="309"/>
      <c r="H529" s="309"/>
      <c r="I529" s="309"/>
    </row>
    <row r="530">
      <c r="D530" s="309"/>
      <c r="E530" s="309"/>
      <c r="F530" s="309"/>
      <c r="G530" s="309"/>
      <c r="H530" s="309"/>
      <c r="I530" s="309"/>
    </row>
    <row r="531">
      <c r="D531" s="309"/>
      <c r="E531" s="309"/>
      <c r="F531" s="309"/>
      <c r="G531" s="309"/>
      <c r="H531" s="309"/>
      <c r="I531" s="309"/>
    </row>
    <row r="532">
      <c r="D532" s="309"/>
      <c r="E532" s="309"/>
      <c r="F532" s="309"/>
      <c r="G532" s="309"/>
      <c r="H532" s="309"/>
      <c r="I532" s="309"/>
    </row>
    <row r="533">
      <c r="D533" s="309"/>
      <c r="E533" s="309"/>
      <c r="F533" s="309"/>
      <c r="G533" s="309"/>
      <c r="H533" s="309"/>
      <c r="I533" s="309"/>
    </row>
    <row r="534">
      <c r="D534" s="309"/>
      <c r="E534" s="309"/>
      <c r="F534" s="309"/>
      <c r="G534" s="309"/>
      <c r="H534" s="309"/>
      <c r="I534" s="309"/>
    </row>
    <row r="535">
      <c r="D535" s="309"/>
      <c r="E535" s="309"/>
      <c r="F535" s="309"/>
      <c r="G535" s="309"/>
      <c r="H535" s="309"/>
      <c r="I535" s="309"/>
    </row>
    <row r="536">
      <c r="D536" s="309"/>
      <c r="E536" s="309"/>
      <c r="F536" s="309"/>
      <c r="G536" s="309"/>
      <c r="H536" s="309"/>
      <c r="I536" s="309"/>
    </row>
    <row r="537">
      <c r="D537" s="309"/>
      <c r="E537" s="309"/>
      <c r="F537" s="309"/>
      <c r="G537" s="309"/>
      <c r="H537" s="309"/>
      <c r="I537" s="309"/>
    </row>
    <row r="538">
      <c r="D538" s="309"/>
      <c r="E538" s="309"/>
      <c r="F538" s="309"/>
      <c r="G538" s="309"/>
      <c r="H538" s="309"/>
      <c r="I538" s="309"/>
    </row>
    <row r="539">
      <c r="D539" s="309"/>
      <c r="E539" s="309"/>
      <c r="F539" s="309"/>
      <c r="G539" s="309"/>
      <c r="H539" s="309"/>
      <c r="I539" s="309"/>
    </row>
    <row r="540">
      <c r="D540" s="309"/>
      <c r="E540" s="309"/>
      <c r="F540" s="309"/>
      <c r="G540" s="309"/>
      <c r="H540" s="309"/>
      <c r="I540" s="309"/>
    </row>
    <row r="541">
      <c r="D541" s="309"/>
      <c r="E541" s="309"/>
      <c r="F541" s="309"/>
      <c r="G541" s="309"/>
      <c r="H541" s="309"/>
      <c r="I541" s="309"/>
    </row>
    <row r="542">
      <c r="D542" s="309"/>
      <c r="E542" s="309"/>
      <c r="F542" s="309"/>
      <c r="G542" s="309"/>
      <c r="H542" s="309"/>
      <c r="I542" s="309"/>
    </row>
    <row r="543">
      <c r="D543" s="309"/>
      <c r="E543" s="309"/>
      <c r="F543" s="309"/>
      <c r="G543" s="309"/>
      <c r="H543" s="309"/>
      <c r="I543" s="309"/>
    </row>
    <row r="544">
      <c r="D544" s="309"/>
      <c r="E544" s="309"/>
      <c r="F544" s="309"/>
      <c r="G544" s="309"/>
      <c r="H544" s="309"/>
      <c r="I544" s="309"/>
    </row>
    <row r="545">
      <c r="D545" s="309"/>
      <c r="E545" s="309"/>
      <c r="F545" s="309"/>
      <c r="G545" s="309"/>
      <c r="H545" s="309"/>
      <c r="I545" s="309"/>
    </row>
    <row r="546">
      <c r="D546" s="309"/>
      <c r="E546" s="309"/>
      <c r="F546" s="309"/>
      <c r="G546" s="309"/>
      <c r="H546" s="309"/>
      <c r="I546" s="309"/>
    </row>
    <row r="547">
      <c r="D547" s="309"/>
      <c r="E547" s="309"/>
      <c r="F547" s="309"/>
      <c r="G547" s="309"/>
      <c r="H547" s="309"/>
      <c r="I547" s="309"/>
    </row>
    <row r="548">
      <c r="D548" s="309"/>
      <c r="E548" s="309"/>
      <c r="F548" s="309"/>
      <c r="G548" s="309"/>
      <c r="H548" s="309"/>
      <c r="I548" s="309"/>
    </row>
    <row r="549">
      <c r="D549" s="309"/>
      <c r="E549" s="309"/>
      <c r="F549" s="309"/>
      <c r="G549" s="309"/>
      <c r="H549" s="309"/>
      <c r="I549" s="309"/>
    </row>
    <row r="550">
      <c r="D550" s="309"/>
      <c r="E550" s="309"/>
      <c r="F550" s="309"/>
      <c r="G550" s="309"/>
      <c r="H550" s="309"/>
      <c r="I550" s="309"/>
    </row>
    <row r="551">
      <c r="D551" s="309"/>
      <c r="E551" s="309"/>
      <c r="F551" s="309"/>
      <c r="G551" s="309"/>
      <c r="H551" s="309"/>
      <c r="I551" s="309"/>
    </row>
    <row r="552">
      <c r="D552" s="309"/>
      <c r="E552" s="309"/>
      <c r="F552" s="309"/>
      <c r="G552" s="309"/>
      <c r="H552" s="309"/>
      <c r="I552" s="309"/>
    </row>
    <row r="553">
      <c r="D553" s="309"/>
      <c r="E553" s="309"/>
      <c r="F553" s="309"/>
      <c r="G553" s="309"/>
      <c r="H553" s="309"/>
      <c r="I553" s="309"/>
    </row>
    <row r="554">
      <c r="D554" s="309"/>
      <c r="E554" s="309"/>
      <c r="F554" s="309"/>
      <c r="G554" s="309"/>
      <c r="H554" s="309"/>
      <c r="I554" s="309"/>
    </row>
    <row r="555">
      <c r="D555" s="309"/>
      <c r="E555" s="309"/>
      <c r="F555" s="309"/>
      <c r="G555" s="309"/>
      <c r="H555" s="309"/>
      <c r="I555" s="309"/>
    </row>
    <row r="556">
      <c r="D556" s="309"/>
      <c r="E556" s="309"/>
      <c r="F556" s="309"/>
      <c r="G556" s="309"/>
      <c r="H556" s="309"/>
      <c r="I556" s="309"/>
    </row>
    <row r="557">
      <c r="D557" s="309"/>
      <c r="E557" s="309"/>
      <c r="F557" s="309"/>
      <c r="G557" s="309"/>
      <c r="H557" s="309"/>
      <c r="I557" s="309"/>
    </row>
    <row r="558">
      <c r="D558" s="309"/>
      <c r="E558" s="309"/>
      <c r="F558" s="309"/>
      <c r="G558" s="309"/>
      <c r="H558" s="309"/>
      <c r="I558" s="309"/>
    </row>
    <row r="559">
      <c r="D559" s="309"/>
      <c r="E559" s="309"/>
      <c r="F559" s="309"/>
      <c r="G559" s="309"/>
      <c r="H559" s="309"/>
      <c r="I559" s="309"/>
    </row>
    <row r="560">
      <c r="D560" s="309"/>
      <c r="E560" s="309"/>
      <c r="F560" s="309"/>
      <c r="G560" s="309"/>
      <c r="H560" s="309"/>
      <c r="I560" s="309"/>
    </row>
    <row r="561">
      <c r="D561" s="309"/>
      <c r="E561" s="309"/>
      <c r="F561" s="309"/>
      <c r="G561" s="309"/>
      <c r="H561" s="309"/>
      <c r="I561" s="309"/>
    </row>
    <row r="562">
      <c r="D562" s="309"/>
      <c r="E562" s="309"/>
      <c r="F562" s="309"/>
      <c r="G562" s="309"/>
      <c r="H562" s="309"/>
      <c r="I562" s="309"/>
    </row>
    <row r="563">
      <c r="D563" s="309"/>
      <c r="E563" s="309"/>
      <c r="F563" s="309"/>
      <c r="G563" s="309"/>
      <c r="H563" s="309"/>
      <c r="I563" s="309"/>
    </row>
    <row r="564">
      <c r="D564" s="309"/>
      <c r="E564" s="309"/>
      <c r="F564" s="309"/>
      <c r="G564" s="309"/>
      <c r="H564" s="309"/>
      <c r="I564" s="309"/>
    </row>
    <row r="565">
      <c r="D565" s="309"/>
      <c r="E565" s="309"/>
      <c r="F565" s="309"/>
      <c r="G565" s="309"/>
      <c r="H565" s="309"/>
      <c r="I565" s="309"/>
    </row>
    <row r="566">
      <c r="D566" s="309"/>
      <c r="E566" s="309"/>
      <c r="F566" s="309"/>
      <c r="G566" s="309"/>
      <c r="H566" s="309"/>
      <c r="I566" s="309"/>
    </row>
    <row r="567">
      <c r="D567" s="309"/>
      <c r="E567" s="309"/>
      <c r="F567" s="309"/>
      <c r="G567" s="309"/>
      <c r="H567" s="309"/>
      <c r="I567" s="309"/>
    </row>
    <row r="568">
      <c r="D568" s="309"/>
      <c r="E568" s="309"/>
      <c r="F568" s="309"/>
      <c r="G568" s="309"/>
      <c r="H568" s="309"/>
      <c r="I568" s="309"/>
    </row>
    <row r="569">
      <c r="D569" s="309"/>
      <c r="E569" s="309"/>
      <c r="F569" s="309"/>
      <c r="G569" s="309"/>
      <c r="H569" s="309"/>
      <c r="I569" s="309"/>
    </row>
    <row r="570">
      <c r="D570" s="309"/>
      <c r="E570" s="309"/>
      <c r="F570" s="309"/>
      <c r="G570" s="309"/>
      <c r="H570" s="309"/>
      <c r="I570" s="309"/>
    </row>
    <row r="571">
      <c r="D571" s="309"/>
      <c r="E571" s="309"/>
      <c r="F571" s="309"/>
      <c r="G571" s="309"/>
      <c r="H571" s="309"/>
      <c r="I571" s="309"/>
    </row>
    <row r="572">
      <c r="D572" s="309"/>
      <c r="E572" s="309"/>
      <c r="F572" s="309"/>
      <c r="G572" s="309"/>
      <c r="H572" s="309"/>
      <c r="I572" s="309"/>
    </row>
    <row r="573">
      <c r="D573" s="309"/>
      <c r="E573" s="309"/>
      <c r="F573" s="309"/>
      <c r="G573" s="309"/>
      <c r="H573" s="309"/>
      <c r="I573" s="309"/>
    </row>
    <row r="574">
      <c r="D574" s="309"/>
      <c r="E574" s="309"/>
      <c r="F574" s="309"/>
      <c r="G574" s="309"/>
      <c r="H574" s="309"/>
      <c r="I574" s="309"/>
    </row>
    <row r="575">
      <c r="D575" s="309"/>
      <c r="E575" s="309"/>
      <c r="F575" s="309"/>
      <c r="G575" s="309"/>
      <c r="H575" s="309"/>
      <c r="I575" s="309"/>
    </row>
    <row r="576">
      <c r="D576" s="309"/>
      <c r="E576" s="309"/>
      <c r="F576" s="309"/>
      <c r="G576" s="309"/>
      <c r="H576" s="309"/>
      <c r="I576" s="309"/>
    </row>
    <row r="577">
      <c r="D577" s="309"/>
      <c r="E577" s="309"/>
      <c r="F577" s="309"/>
      <c r="G577" s="309"/>
      <c r="H577" s="309"/>
      <c r="I577" s="309"/>
    </row>
    <row r="578">
      <c r="D578" s="309"/>
      <c r="E578" s="309"/>
      <c r="F578" s="309"/>
      <c r="G578" s="309"/>
      <c r="H578" s="309"/>
      <c r="I578" s="309"/>
    </row>
    <row r="579">
      <c r="D579" s="309"/>
      <c r="E579" s="309"/>
      <c r="F579" s="309"/>
      <c r="G579" s="309"/>
      <c r="H579" s="309"/>
      <c r="I579" s="309"/>
    </row>
    <row r="580">
      <c r="D580" s="309"/>
      <c r="E580" s="309"/>
      <c r="F580" s="309"/>
      <c r="G580" s="309"/>
      <c r="H580" s="309"/>
      <c r="I580" s="309"/>
    </row>
    <row r="581">
      <c r="D581" s="309"/>
      <c r="E581" s="309"/>
      <c r="F581" s="309"/>
      <c r="G581" s="309"/>
      <c r="H581" s="309"/>
      <c r="I581" s="309"/>
    </row>
    <row r="582">
      <c r="D582" s="309"/>
      <c r="E582" s="309"/>
      <c r="F582" s="309"/>
      <c r="G582" s="309"/>
      <c r="H582" s="309"/>
      <c r="I582" s="309"/>
    </row>
    <row r="583">
      <c r="D583" s="309"/>
      <c r="E583" s="309"/>
      <c r="F583" s="309"/>
      <c r="G583" s="309"/>
      <c r="H583" s="309"/>
      <c r="I583" s="309"/>
    </row>
    <row r="584">
      <c r="D584" s="309"/>
      <c r="E584" s="309"/>
      <c r="F584" s="309"/>
      <c r="G584" s="309"/>
      <c r="H584" s="309"/>
      <c r="I584" s="309"/>
    </row>
    <row r="585">
      <c r="D585" s="309"/>
      <c r="E585" s="309"/>
      <c r="F585" s="309"/>
      <c r="G585" s="309"/>
      <c r="H585" s="309"/>
      <c r="I585" s="309"/>
    </row>
    <row r="586">
      <c r="D586" s="309"/>
      <c r="E586" s="309"/>
      <c r="F586" s="309"/>
      <c r="G586" s="309"/>
      <c r="H586" s="309"/>
      <c r="I586" s="309"/>
    </row>
    <row r="587">
      <c r="D587" s="309"/>
      <c r="E587" s="309"/>
      <c r="F587" s="309"/>
      <c r="G587" s="309"/>
      <c r="H587" s="309"/>
      <c r="I587" s="309"/>
    </row>
    <row r="588">
      <c r="D588" s="309"/>
      <c r="E588" s="309"/>
      <c r="F588" s="309"/>
      <c r="G588" s="309"/>
      <c r="H588" s="309"/>
      <c r="I588" s="309"/>
    </row>
    <row r="589">
      <c r="D589" s="309"/>
      <c r="E589" s="309"/>
      <c r="F589" s="309"/>
      <c r="G589" s="309"/>
      <c r="H589" s="309"/>
      <c r="I589" s="309"/>
    </row>
    <row r="590">
      <c r="D590" s="309"/>
      <c r="E590" s="309"/>
      <c r="F590" s="309"/>
      <c r="G590" s="309"/>
      <c r="H590" s="309"/>
      <c r="I590" s="309"/>
    </row>
    <row r="591">
      <c r="D591" s="309"/>
      <c r="E591" s="309"/>
      <c r="F591" s="309"/>
      <c r="G591" s="309"/>
      <c r="H591" s="309"/>
      <c r="I591" s="309"/>
    </row>
    <row r="592">
      <c r="D592" s="309"/>
      <c r="E592" s="309"/>
      <c r="F592" s="309"/>
      <c r="G592" s="309"/>
      <c r="H592" s="309"/>
      <c r="I592" s="309"/>
    </row>
    <row r="593">
      <c r="D593" s="309"/>
      <c r="E593" s="309"/>
      <c r="F593" s="309"/>
      <c r="G593" s="309"/>
      <c r="H593" s="309"/>
      <c r="I593" s="309"/>
    </row>
    <row r="594">
      <c r="D594" s="309"/>
      <c r="E594" s="309"/>
      <c r="F594" s="309"/>
      <c r="G594" s="309"/>
      <c r="H594" s="309"/>
      <c r="I594" s="309"/>
    </row>
    <row r="595">
      <c r="D595" s="309"/>
      <c r="E595" s="309"/>
      <c r="F595" s="309"/>
      <c r="G595" s="309"/>
      <c r="H595" s="309"/>
      <c r="I595" s="309"/>
    </row>
    <row r="596">
      <c r="D596" s="309"/>
      <c r="E596" s="309"/>
      <c r="F596" s="309"/>
      <c r="G596" s="309"/>
      <c r="H596" s="309"/>
      <c r="I596" s="309"/>
    </row>
    <row r="597">
      <c r="D597" s="309"/>
      <c r="E597" s="309"/>
      <c r="F597" s="309"/>
      <c r="G597" s="309"/>
      <c r="H597" s="309"/>
      <c r="I597" s="309"/>
    </row>
    <row r="598">
      <c r="D598" s="309"/>
      <c r="E598" s="309"/>
      <c r="F598" s="309"/>
      <c r="G598" s="309"/>
      <c r="H598" s="309"/>
      <c r="I598" s="309"/>
    </row>
    <row r="599">
      <c r="D599" s="309"/>
      <c r="E599" s="309"/>
      <c r="F599" s="309"/>
      <c r="G599" s="309"/>
      <c r="H599" s="309"/>
      <c r="I599" s="309"/>
    </row>
    <row r="600">
      <c r="D600" s="309"/>
      <c r="E600" s="309"/>
      <c r="F600" s="309"/>
      <c r="G600" s="309"/>
      <c r="H600" s="309"/>
      <c r="I600" s="309"/>
    </row>
    <row r="601">
      <c r="D601" s="309"/>
      <c r="E601" s="309"/>
      <c r="F601" s="309"/>
      <c r="G601" s="309"/>
      <c r="H601" s="309"/>
      <c r="I601" s="309"/>
    </row>
    <row r="602">
      <c r="D602" s="309"/>
      <c r="E602" s="309"/>
      <c r="F602" s="309"/>
      <c r="G602" s="309"/>
      <c r="H602" s="309"/>
      <c r="I602" s="309"/>
    </row>
    <row r="603">
      <c r="D603" s="309"/>
      <c r="E603" s="309"/>
      <c r="F603" s="309"/>
      <c r="G603" s="309"/>
      <c r="H603" s="309"/>
      <c r="I603" s="309"/>
    </row>
    <row r="604">
      <c r="D604" s="309"/>
      <c r="E604" s="309"/>
      <c r="F604" s="309"/>
      <c r="G604" s="309"/>
      <c r="H604" s="309"/>
      <c r="I604" s="309"/>
    </row>
    <row r="605">
      <c r="D605" s="309"/>
      <c r="E605" s="309"/>
      <c r="F605" s="309"/>
      <c r="G605" s="309"/>
      <c r="H605" s="309"/>
      <c r="I605" s="309"/>
    </row>
    <row r="606">
      <c r="D606" s="309"/>
      <c r="E606" s="309"/>
      <c r="F606" s="309"/>
      <c r="G606" s="309"/>
      <c r="H606" s="309"/>
      <c r="I606" s="309"/>
    </row>
    <row r="607">
      <c r="D607" s="309"/>
      <c r="E607" s="309"/>
      <c r="F607" s="309"/>
      <c r="G607" s="309"/>
      <c r="H607" s="309"/>
      <c r="I607" s="309"/>
    </row>
    <row r="608">
      <c r="D608" s="309"/>
      <c r="E608" s="309"/>
      <c r="F608" s="309"/>
      <c r="G608" s="309"/>
      <c r="H608" s="309"/>
      <c r="I608" s="309"/>
    </row>
    <row r="609">
      <c r="D609" s="309"/>
      <c r="E609" s="309"/>
      <c r="F609" s="309"/>
      <c r="G609" s="309"/>
      <c r="H609" s="309"/>
      <c r="I609" s="309"/>
    </row>
    <row r="610">
      <c r="D610" s="309"/>
      <c r="E610" s="309"/>
      <c r="F610" s="309"/>
      <c r="G610" s="309"/>
      <c r="H610" s="309"/>
      <c r="I610" s="309"/>
    </row>
    <row r="611">
      <c r="D611" s="309"/>
      <c r="E611" s="309"/>
      <c r="F611" s="309"/>
      <c r="G611" s="309"/>
      <c r="H611" s="309"/>
      <c r="I611" s="309"/>
    </row>
    <row r="612">
      <c r="D612" s="309"/>
      <c r="E612" s="309"/>
      <c r="F612" s="309"/>
      <c r="G612" s="309"/>
      <c r="H612" s="309"/>
      <c r="I612" s="309"/>
    </row>
    <row r="613">
      <c r="D613" s="309"/>
      <c r="E613" s="309"/>
      <c r="F613" s="309"/>
      <c r="G613" s="309"/>
      <c r="H613" s="309"/>
      <c r="I613" s="309"/>
    </row>
    <row r="614">
      <c r="D614" s="309"/>
      <c r="E614" s="309"/>
      <c r="F614" s="309"/>
      <c r="G614" s="309"/>
      <c r="H614" s="309"/>
      <c r="I614" s="309"/>
    </row>
    <row r="615">
      <c r="D615" s="309"/>
      <c r="E615" s="309"/>
      <c r="F615" s="309"/>
      <c r="G615" s="309"/>
      <c r="H615" s="309"/>
      <c r="I615" s="309"/>
    </row>
    <row r="616">
      <c r="D616" s="309"/>
      <c r="E616" s="309"/>
      <c r="F616" s="309"/>
      <c r="G616" s="309"/>
      <c r="H616" s="309"/>
      <c r="I616" s="309"/>
    </row>
    <row r="617">
      <c r="D617" s="309"/>
      <c r="E617" s="309"/>
      <c r="F617" s="309"/>
      <c r="G617" s="309"/>
      <c r="H617" s="309"/>
      <c r="I617" s="309"/>
    </row>
    <row r="618">
      <c r="D618" s="309"/>
      <c r="E618" s="309"/>
      <c r="F618" s="309"/>
      <c r="G618" s="309"/>
      <c r="H618" s="309"/>
      <c r="I618" s="309"/>
    </row>
    <row r="619">
      <c r="D619" s="309"/>
      <c r="E619" s="309"/>
      <c r="F619" s="309"/>
      <c r="G619" s="309"/>
      <c r="H619" s="309"/>
      <c r="I619" s="309"/>
    </row>
    <row r="620">
      <c r="D620" s="309"/>
      <c r="E620" s="309"/>
      <c r="F620" s="309"/>
      <c r="G620" s="309"/>
      <c r="H620" s="309"/>
      <c r="I620" s="309"/>
    </row>
    <row r="621">
      <c r="D621" s="309"/>
      <c r="E621" s="309"/>
      <c r="F621" s="309"/>
      <c r="G621" s="309"/>
      <c r="H621" s="309"/>
      <c r="I621" s="309"/>
    </row>
    <row r="622">
      <c r="D622" s="309"/>
      <c r="E622" s="309"/>
      <c r="F622" s="309"/>
      <c r="G622" s="309"/>
      <c r="H622" s="309"/>
      <c r="I622" s="309"/>
    </row>
    <row r="623">
      <c r="D623" s="309"/>
      <c r="E623" s="309"/>
      <c r="F623" s="309"/>
      <c r="G623" s="309"/>
      <c r="H623" s="309"/>
      <c r="I623" s="309"/>
    </row>
    <row r="624">
      <c r="D624" s="309"/>
      <c r="E624" s="309"/>
      <c r="F624" s="309"/>
      <c r="G624" s="309"/>
      <c r="H624" s="309"/>
      <c r="I624" s="309"/>
    </row>
    <row r="625">
      <c r="D625" s="309"/>
      <c r="E625" s="309"/>
      <c r="F625" s="309"/>
      <c r="G625" s="309"/>
      <c r="H625" s="309"/>
      <c r="I625" s="309"/>
    </row>
    <row r="626">
      <c r="D626" s="309"/>
      <c r="E626" s="309"/>
      <c r="F626" s="309"/>
      <c r="G626" s="309"/>
      <c r="H626" s="309"/>
      <c r="I626" s="309"/>
    </row>
    <row r="627">
      <c r="D627" s="309"/>
      <c r="E627" s="309"/>
      <c r="F627" s="309"/>
      <c r="G627" s="309"/>
      <c r="H627" s="309"/>
      <c r="I627" s="309"/>
    </row>
    <row r="628">
      <c r="D628" s="309"/>
      <c r="E628" s="309"/>
      <c r="F628" s="309"/>
      <c r="G628" s="309"/>
      <c r="H628" s="309"/>
      <c r="I628" s="309"/>
    </row>
    <row r="629">
      <c r="D629" s="309"/>
      <c r="E629" s="309"/>
      <c r="F629" s="309"/>
      <c r="G629" s="309"/>
      <c r="H629" s="309"/>
      <c r="I629" s="309"/>
    </row>
    <row r="630">
      <c r="D630" s="309"/>
      <c r="E630" s="309"/>
      <c r="F630" s="309"/>
      <c r="G630" s="309"/>
      <c r="H630" s="309"/>
      <c r="I630" s="309"/>
    </row>
    <row r="631">
      <c r="D631" s="309"/>
      <c r="E631" s="309"/>
      <c r="F631" s="309"/>
      <c r="G631" s="309"/>
      <c r="H631" s="309"/>
      <c r="I631" s="309"/>
    </row>
    <row r="632">
      <c r="D632" s="309"/>
      <c r="E632" s="309"/>
      <c r="F632" s="309"/>
      <c r="G632" s="309"/>
      <c r="H632" s="309"/>
      <c r="I632" s="309"/>
    </row>
    <row r="633">
      <c r="D633" s="309"/>
      <c r="E633" s="309"/>
      <c r="F633" s="309"/>
      <c r="G633" s="309"/>
      <c r="H633" s="309"/>
      <c r="I633" s="309"/>
    </row>
    <row r="634">
      <c r="D634" s="309"/>
      <c r="E634" s="309"/>
      <c r="F634" s="309"/>
      <c r="G634" s="309"/>
      <c r="H634" s="309"/>
      <c r="I634" s="309"/>
    </row>
    <row r="635">
      <c r="D635" s="309"/>
      <c r="E635" s="309"/>
      <c r="F635" s="309"/>
      <c r="G635" s="309"/>
      <c r="H635" s="309"/>
      <c r="I635" s="309"/>
    </row>
    <row r="636">
      <c r="D636" s="309"/>
      <c r="E636" s="309"/>
      <c r="F636" s="309"/>
      <c r="G636" s="309"/>
      <c r="H636" s="309"/>
      <c r="I636" s="309"/>
    </row>
    <row r="637">
      <c r="D637" s="309"/>
      <c r="E637" s="309"/>
      <c r="F637" s="309"/>
      <c r="G637" s="309"/>
      <c r="H637" s="309"/>
      <c r="I637" s="309"/>
    </row>
    <row r="638">
      <c r="D638" s="309"/>
      <c r="E638" s="309"/>
      <c r="F638" s="309"/>
      <c r="G638" s="309"/>
      <c r="H638" s="309"/>
      <c r="I638" s="309"/>
    </row>
    <row r="639">
      <c r="D639" s="309"/>
      <c r="E639" s="309"/>
      <c r="F639" s="309"/>
      <c r="G639" s="309"/>
      <c r="H639" s="309"/>
      <c r="I639" s="309"/>
    </row>
    <row r="640">
      <c r="D640" s="309"/>
      <c r="E640" s="309"/>
      <c r="F640" s="309"/>
      <c r="G640" s="309"/>
      <c r="H640" s="309"/>
      <c r="I640" s="309"/>
    </row>
    <row r="641">
      <c r="D641" s="309"/>
      <c r="E641" s="309"/>
      <c r="F641" s="309"/>
      <c r="G641" s="309"/>
      <c r="H641" s="309"/>
      <c r="I641" s="309"/>
    </row>
    <row r="642">
      <c r="D642" s="309"/>
      <c r="E642" s="309"/>
      <c r="F642" s="309"/>
      <c r="G642" s="309"/>
      <c r="H642" s="309"/>
      <c r="I642" s="309"/>
    </row>
    <row r="643">
      <c r="D643" s="309"/>
      <c r="E643" s="309"/>
      <c r="F643" s="309"/>
      <c r="G643" s="309"/>
      <c r="H643" s="309"/>
      <c r="I643" s="309"/>
    </row>
    <row r="644">
      <c r="D644" s="309"/>
      <c r="E644" s="309"/>
      <c r="F644" s="309"/>
      <c r="G644" s="309"/>
      <c r="H644" s="309"/>
      <c r="I644" s="309"/>
    </row>
    <row r="645">
      <c r="D645" s="309"/>
      <c r="E645" s="309"/>
      <c r="F645" s="309"/>
      <c r="G645" s="309"/>
      <c r="H645" s="309"/>
      <c r="I645" s="309"/>
    </row>
    <row r="646">
      <c r="D646" s="309"/>
      <c r="E646" s="309"/>
      <c r="F646" s="309"/>
      <c r="G646" s="309"/>
      <c r="H646" s="309"/>
      <c r="I646" s="309"/>
    </row>
    <row r="647">
      <c r="D647" s="309"/>
      <c r="E647" s="309"/>
      <c r="F647" s="309"/>
      <c r="G647" s="309"/>
      <c r="H647" s="309"/>
      <c r="I647" s="309"/>
    </row>
    <row r="648">
      <c r="D648" s="309"/>
      <c r="E648" s="309"/>
      <c r="F648" s="309"/>
      <c r="G648" s="309"/>
      <c r="H648" s="309"/>
      <c r="I648" s="309"/>
    </row>
    <row r="649">
      <c r="D649" s="309"/>
      <c r="E649" s="309"/>
      <c r="F649" s="309"/>
      <c r="G649" s="309"/>
      <c r="H649" s="309"/>
      <c r="I649" s="309"/>
    </row>
    <row r="650">
      <c r="D650" s="309"/>
      <c r="E650" s="309"/>
      <c r="F650" s="309"/>
      <c r="G650" s="309"/>
      <c r="H650" s="309"/>
      <c r="I650" s="309"/>
    </row>
    <row r="651">
      <c r="D651" s="309"/>
      <c r="E651" s="309"/>
      <c r="F651" s="309"/>
      <c r="G651" s="309"/>
      <c r="H651" s="309"/>
      <c r="I651" s="309"/>
    </row>
    <row r="652">
      <c r="D652" s="309"/>
      <c r="E652" s="309"/>
      <c r="F652" s="309"/>
      <c r="G652" s="309"/>
      <c r="H652" s="309"/>
      <c r="I652" s="309"/>
    </row>
    <row r="653">
      <c r="D653" s="309"/>
      <c r="E653" s="309"/>
      <c r="F653" s="309"/>
      <c r="G653" s="309"/>
      <c r="H653" s="309"/>
      <c r="I653" s="309"/>
    </row>
    <row r="654">
      <c r="D654" s="309"/>
      <c r="E654" s="309"/>
      <c r="F654" s="309"/>
      <c r="G654" s="309"/>
      <c r="H654" s="309"/>
      <c r="I654" s="309"/>
    </row>
    <row r="655">
      <c r="D655" s="309"/>
      <c r="E655" s="309"/>
      <c r="F655" s="309"/>
      <c r="G655" s="309"/>
      <c r="H655" s="309"/>
      <c r="I655" s="309"/>
    </row>
    <row r="656">
      <c r="D656" s="309"/>
      <c r="E656" s="309"/>
      <c r="F656" s="309"/>
      <c r="G656" s="309"/>
      <c r="H656" s="309"/>
      <c r="I656" s="309"/>
    </row>
    <row r="657">
      <c r="D657" s="309"/>
      <c r="E657" s="309"/>
      <c r="F657" s="309"/>
      <c r="G657" s="309"/>
      <c r="H657" s="309"/>
      <c r="I657" s="309"/>
    </row>
    <row r="658">
      <c r="D658" s="309"/>
      <c r="E658" s="309"/>
      <c r="F658" s="309"/>
      <c r="G658" s="309"/>
      <c r="H658" s="309"/>
      <c r="I658" s="309"/>
    </row>
    <row r="659">
      <c r="D659" s="309"/>
      <c r="E659" s="309"/>
      <c r="F659" s="309"/>
      <c r="G659" s="309"/>
      <c r="H659" s="309"/>
      <c r="I659" s="309"/>
    </row>
    <row r="660">
      <c r="D660" s="309"/>
      <c r="E660" s="309"/>
      <c r="F660" s="309"/>
      <c r="G660" s="309"/>
      <c r="H660" s="309"/>
      <c r="I660" s="309"/>
    </row>
    <row r="661">
      <c r="D661" s="309"/>
      <c r="E661" s="309"/>
      <c r="F661" s="309"/>
      <c r="G661" s="309"/>
      <c r="H661" s="309"/>
      <c r="I661" s="309"/>
    </row>
    <row r="662">
      <c r="D662" s="309"/>
      <c r="E662" s="309"/>
      <c r="F662" s="309"/>
      <c r="G662" s="309"/>
      <c r="H662" s="309"/>
      <c r="I662" s="309"/>
    </row>
    <row r="663">
      <c r="D663" s="309"/>
      <c r="E663" s="309"/>
      <c r="F663" s="309"/>
      <c r="G663" s="309"/>
      <c r="H663" s="309"/>
      <c r="I663" s="309"/>
    </row>
    <row r="664">
      <c r="D664" s="309"/>
      <c r="E664" s="309"/>
      <c r="F664" s="309"/>
      <c r="G664" s="309"/>
      <c r="H664" s="309"/>
      <c r="I664" s="309"/>
    </row>
    <row r="665">
      <c r="D665" s="309"/>
      <c r="E665" s="309"/>
      <c r="F665" s="309"/>
      <c r="G665" s="309"/>
      <c r="H665" s="309"/>
      <c r="I665" s="309"/>
    </row>
    <row r="666">
      <c r="D666" s="309"/>
      <c r="E666" s="309"/>
      <c r="F666" s="309"/>
      <c r="G666" s="309"/>
      <c r="H666" s="309"/>
      <c r="I666" s="309"/>
    </row>
    <row r="667">
      <c r="D667" s="309"/>
      <c r="E667" s="309"/>
      <c r="F667" s="309"/>
      <c r="G667" s="309"/>
      <c r="H667" s="309"/>
      <c r="I667" s="309"/>
    </row>
    <row r="668">
      <c r="D668" s="309"/>
      <c r="E668" s="309"/>
      <c r="F668" s="309"/>
      <c r="G668" s="309"/>
      <c r="H668" s="309"/>
      <c r="I668" s="309"/>
    </row>
    <row r="669">
      <c r="D669" s="309"/>
      <c r="E669" s="309"/>
      <c r="F669" s="309"/>
      <c r="G669" s="309"/>
      <c r="H669" s="309"/>
      <c r="I669" s="309"/>
    </row>
    <row r="670">
      <c r="D670" s="309"/>
      <c r="E670" s="309"/>
      <c r="F670" s="309"/>
      <c r="G670" s="309"/>
      <c r="H670" s="309"/>
      <c r="I670" s="309"/>
    </row>
    <row r="671">
      <c r="D671" s="309"/>
      <c r="E671" s="309"/>
      <c r="F671" s="309"/>
      <c r="G671" s="309"/>
      <c r="H671" s="309"/>
      <c r="I671" s="309"/>
    </row>
    <row r="672">
      <c r="D672" s="309"/>
      <c r="E672" s="309"/>
      <c r="F672" s="309"/>
      <c r="G672" s="309"/>
      <c r="H672" s="309"/>
      <c r="I672" s="309"/>
    </row>
    <row r="673">
      <c r="D673" s="309"/>
      <c r="E673" s="309"/>
      <c r="F673" s="309"/>
      <c r="G673" s="309"/>
      <c r="H673" s="309"/>
      <c r="I673" s="309"/>
    </row>
    <row r="674">
      <c r="D674" s="309"/>
      <c r="E674" s="309"/>
      <c r="F674" s="309"/>
      <c r="G674" s="309"/>
      <c r="H674" s="309"/>
      <c r="I674" s="309"/>
    </row>
    <row r="675">
      <c r="D675" s="309"/>
      <c r="E675" s="309"/>
      <c r="F675" s="309"/>
      <c r="G675" s="309"/>
      <c r="H675" s="309"/>
      <c r="I675" s="309"/>
    </row>
    <row r="676">
      <c r="D676" s="309"/>
      <c r="E676" s="309"/>
      <c r="F676" s="309"/>
      <c r="G676" s="309"/>
      <c r="H676" s="309"/>
      <c r="I676" s="309"/>
    </row>
    <row r="677">
      <c r="D677" s="309"/>
      <c r="E677" s="309"/>
      <c r="F677" s="309"/>
      <c r="G677" s="309"/>
      <c r="H677" s="309"/>
      <c r="I677" s="309"/>
    </row>
    <row r="678">
      <c r="D678" s="309"/>
      <c r="E678" s="309"/>
      <c r="F678" s="309"/>
      <c r="G678" s="309"/>
      <c r="H678" s="309"/>
      <c r="I678" s="309"/>
    </row>
    <row r="679">
      <c r="D679" s="309"/>
      <c r="E679" s="309"/>
      <c r="F679" s="309"/>
      <c r="G679" s="309"/>
      <c r="H679" s="309"/>
      <c r="I679" s="309"/>
    </row>
    <row r="680">
      <c r="D680" s="309"/>
      <c r="E680" s="309"/>
      <c r="F680" s="309"/>
      <c r="G680" s="309"/>
      <c r="H680" s="309"/>
      <c r="I680" s="309"/>
    </row>
    <row r="681">
      <c r="D681" s="309"/>
      <c r="E681" s="309"/>
      <c r="F681" s="309"/>
      <c r="G681" s="309"/>
      <c r="H681" s="309"/>
      <c r="I681" s="309"/>
    </row>
    <row r="682">
      <c r="D682" s="309"/>
      <c r="E682" s="309"/>
      <c r="F682" s="309"/>
      <c r="G682" s="309"/>
      <c r="H682" s="309"/>
      <c r="I682" s="309"/>
    </row>
    <row r="683">
      <c r="D683" s="309"/>
      <c r="E683" s="309"/>
      <c r="F683" s="309"/>
      <c r="G683" s="309"/>
      <c r="H683" s="309"/>
      <c r="I683" s="309"/>
    </row>
    <row r="684">
      <c r="D684" s="309"/>
      <c r="E684" s="309"/>
      <c r="F684" s="309"/>
      <c r="G684" s="309"/>
      <c r="H684" s="309"/>
      <c r="I684" s="309"/>
    </row>
    <row r="685">
      <c r="D685" s="309"/>
      <c r="E685" s="309"/>
      <c r="F685" s="309"/>
      <c r="G685" s="309"/>
      <c r="H685" s="309"/>
      <c r="I685" s="309"/>
    </row>
    <row r="686">
      <c r="D686" s="309"/>
      <c r="E686" s="309"/>
      <c r="F686" s="309"/>
      <c r="G686" s="309"/>
      <c r="H686" s="309"/>
      <c r="I686" s="309"/>
    </row>
    <row r="687">
      <c r="D687" s="309"/>
      <c r="E687" s="309"/>
      <c r="F687" s="309"/>
      <c r="G687" s="309"/>
      <c r="H687" s="309"/>
      <c r="I687" s="309"/>
    </row>
    <row r="688">
      <c r="D688" s="309"/>
      <c r="E688" s="309"/>
      <c r="F688" s="309"/>
      <c r="G688" s="309"/>
      <c r="H688" s="309"/>
      <c r="I688" s="309"/>
    </row>
    <row r="689">
      <c r="D689" s="309"/>
      <c r="E689" s="309"/>
      <c r="F689" s="309"/>
      <c r="G689" s="309"/>
      <c r="H689" s="309"/>
      <c r="I689" s="309"/>
    </row>
    <row r="690">
      <c r="D690" s="309"/>
      <c r="E690" s="309"/>
      <c r="F690" s="309"/>
      <c r="G690" s="309"/>
      <c r="H690" s="309"/>
      <c r="I690" s="309"/>
    </row>
    <row r="691">
      <c r="D691" s="309"/>
      <c r="E691" s="309"/>
      <c r="F691" s="309"/>
      <c r="G691" s="309"/>
      <c r="H691" s="309"/>
      <c r="I691" s="309"/>
    </row>
    <row r="692">
      <c r="D692" s="309"/>
      <c r="E692" s="309"/>
      <c r="F692" s="309"/>
      <c r="G692" s="309"/>
      <c r="H692" s="309"/>
      <c r="I692" s="309"/>
    </row>
    <row r="693">
      <c r="D693" s="309"/>
      <c r="E693" s="309"/>
      <c r="F693" s="309"/>
      <c r="G693" s="309"/>
      <c r="H693" s="309"/>
      <c r="I693" s="309"/>
    </row>
    <row r="694">
      <c r="D694" s="309"/>
      <c r="E694" s="309"/>
      <c r="F694" s="309"/>
      <c r="G694" s="309"/>
      <c r="H694" s="309"/>
      <c r="I694" s="309"/>
    </row>
    <row r="695">
      <c r="D695" s="309"/>
      <c r="E695" s="309"/>
      <c r="F695" s="309"/>
      <c r="G695" s="309"/>
      <c r="H695" s="309"/>
      <c r="I695" s="309"/>
    </row>
    <row r="696">
      <c r="D696" s="309"/>
      <c r="E696" s="309"/>
      <c r="F696" s="309"/>
      <c r="G696" s="309"/>
      <c r="H696" s="309"/>
      <c r="I696" s="309"/>
    </row>
    <row r="697">
      <c r="D697" s="309"/>
      <c r="E697" s="309"/>
      <c r="F697" s="309"/>
      <c r="G697" s="309"/>
      <c r="H697" s="309"/>
      <c r="I697" s="309"/>
    </row>
    <row r="698">
      <c r="D698" s="309"/>
      <c r="E698" s="309"/>
      <c r="F698" s="309"/>
      <c r="G698" s="309"/>
      <c r="H698" s="309"/>
      <c r="I698" s="309"/>
    </row>
    <row r="699">
      <c r="D699" s="309"/>
      <c r="E699" s="309"/>
      <c r="F699" s="309"/>
      <c r="G699" s="309"/>
      <c r="H699" s="309"/>
      <c r="I699" s="309"/>
    </row>
    <row r="700">
      <c r="D700" s="309"/>
      <c r="E700" s="309"/>
      <c r="F700" s="309"/>
      <c r="G700" s="309"/>
      <c r="H700" s="309"/>
      <c r="I700" s="309"/>
    </row>
    <row r="701">
      <c r="D701" s="309"/>
      <c r="E701" s="309"/>
      <c r="F701" s="309"/>
      <c r="G701" s="309"/>
      <c r="H701" s="309"/>
      <c r="I701" s="309"/>
    </row>
    <row r="702">
      <c r="D702" s="309"/>
      <c r="E702" s="309"/>
      <c r="F702" s="309"/>
      <c r="G702" s="309"/>
      <c r="H702" s="309"/>
      <c r="I702" s="309"/>
    </row>
    <row r="703">
      <c r="D703" s="309"/>
      <c r="E703" s="309"/>
      <c r="F703" s="309"/>
      <c r="G703" s="309"/>
      <c r="H703" s="309"/>
      <c r="I703" s="309"/>
    </row>
    <row r="704">
      <c r="D704" s="309"/>
      <c r="E704" s="309"/>
      <c r="F704" s="309"/>
      <c r="G704" s="309"/>
      <c r="H704" s="309"/>
      <c r="I704" s="309"/>
    </row>
    <row r="705">
      <c r="D705" s="309"/>
      <c r="E705" s="309"/>
      <c r="F705" s="309"/>
      <c r="G705" s="309"/>
      <c r="H705" s="309"/>
      <c r="I705" s="309"/>
    </row>
    <row r="706">
      <c r="D706" s="309"/>
      <c r="E706" s="309"/>
      <c r="F706" s="309"/>
      <c r="G706" s="309"/>
      <c r="H706" s="309"/>
      <c r="I706" s="309"/>
    </row>
    <row r="707">
      <c r="D707" s="309"/>
      <c r="E707" s="309"/>
      <c r="F707" s="309"/>
      <c r="G707" s="309"/>
      <c r="H707" s="309"/>
      <c r="I707" s="309"/>
    </row>
    <row r="708">
      <c r="D708" s="309"/>
      <c r="E708" s="309"/>
      <c r="F708" s="309"/>
      <c r="G708" s="309"/>
      <c r="H708" s="309"/>
      <c r="I708" s="309"/>
    </row>
    <row r="709">
      <c r="D709" s="309"/>
      <c r="E709" s="309"/>
      <c r="F709" s="309"/>
      <c r="G709" s="309"/>
      <c r="H709" s="309"/>
      <c r="I709" s="309"/>
    </row>
    <row r="710">
      <c r="D710" s="309"/>
      <c r="E710" s="309"/>
      <c r="F710" s="309"/>
      <c r="G710" s="309"/>
      <c r="H710" s="309"/>
      <c r="I710" s="309"/>
    </row>
    <row r="711">
      <c r="D711" s="309"/>
      <c r="E711" s="309"/>
      <c r="F711" s="309"/>
      <c r="G711" s="309"/>
      <c r="H711" s="309"/>
      <c r="I711" s="309"/>
    </row>
    <row r="712">
      <c r="D712" s="309"/>
      <c r="E712" s="309"/>
      <c r="F712" s="309"/>
      <c r="G712" s="309"/>
      <c r="H712" s="309"/>
      <c r="I712" s="309"/>
    </row>
    <row r="713">
      <c r="D713" s="309"/>
      <c r="E713" s="309"/>
      <c r="F713" s="309"/>
      <c r="G713" s="309"/>
      <c r="H713" s="309"/>
      <c r="I713" s="309"/>
    </row>
    <row r="714">
      <c r="D714" s="309"/>
      <c r="E714" s="309"/>
      <c r="F714" s="309"/>
      <c r="G714" s="309"/>
      <c r="H714" s="309"/>
      <c r="I714" s="309"/>
    </row>
    <row r="715">
      <c r="D715" s="309"/>
      <c r="E715" s="309"/>
      <c r="F715" s="309"/>
      <c r="G715" s="309"/>
      <c r="H715" s="309"/>
      <c r="I715" s="309"/>
    </row>
    <row r="716">
      <c r="D716" s="309"/>
      <c r="E716" s="309"/>
      <c r="F716" s="309"/>
      <c r="G716" s="309"/>
      <c r="H716" s="309"/>
      <c r="I716" s="309"/>
    </row>
    <row r="717">
      <c r="D717" s="309"/>
      <c r="E717" s="309"/>
      <c r="F717" s="309"/>
      <c r="G717" s="309"/>
      <c r="H717" s="309"/>
      <c r="I717" s="309"/>
    </row>
    <row r="718">
      <c r="D718" s="309"/>
      <c r="E718" s="309"/>
      <c r="F718" s="309"/>
      <c r="G718" s="309"/>
      <c r="H718" s="309"/>
      <c r="I718" s="309"/>
    </row>
    <row r="719">
      <c r="D719" s="309"/>
      <c r="E719" s="309"/>
      <c r="F719" s="309"/>
      <c r="G719" s="309"/>
      <c r="H719" s="309"/>
      <c r="I719" s="309"/>
    </row>
    <row r="720">
      <c r="D720" s="309"/>
      <c r="E720" s="309"/>
      <c r="F720" s="309"/>
      <c r="G720" s="309"/>
      <c r="H720" s="309"/>
      <c r="I720" s="309"/>
    </row>
    <row r="721">
      <c r="D721" s="309"/>
      <c r="E721" s="309"/>
      <c r="F721" s="309"/>
      <c r="G721" s="309"/>
      <c r="H721" s="309"/>
      <c r="I721" s="309"/>
    </row>
    <row r="722">
      <c r="D722" s="309"/>
      <c r="E722" s="309"/>
      <c r="F722" s="309"/>
      <c r="G722" s="309"/>
      <c r="H722" s="309"/>
      <c r="I722" s="309"/>
    </row>
    <row r="723">
      <c r="D723" s="309"/>
      <c r="E723" s="309"/>
      <c r="F723" s="309"/>
      <c r="G723" s="309"/>
      <c r="H723" s="309"/>
      <c r="I723" s="309"/>
    </row>
    <row r="724">
      <c r="D724" s="309"/>
      <c r="E724" s="309"/>
      <c r="F724" s="309"/>
      <c r="G724" s="309"/>
      <c r="H724" s="309"/>
      <c r="I724" s="309"/>
    </row>
    <row r="725">
      <c r="D725" s="309"/>
      <c r="E725" s="309"/>
      <c r="F725" s="309"/>
      <c r="G725" s="309"/>
      <c r="H725" s="309"/>
      <c r="I725" s="309"/>
    </row>
    <row r="726">
      <c r="D726" s="309"/>
      <c r="E726" s="309"/>
      <c r="F726" s="309"/>
      <c r="G726" s="309"/>
      <c r="H726" s="309"/>
      <c r="I726" s="309"/>
    </row>
    <row r="727">
      <c r="D727" s="309"/>
      <c r="E727" s="309"/>
      <c r="F727" s="309"/>
      <c r="G727" s="309"/>
      <c r="H727" s="309"/>
      <c r="I727" s="309"/>
    </row>
    <row r="728">
      <c r="D728" s="309"/>
      <c r="E728" s="309"/>
      <c r="F728" s="309"/>
      <c r="G728" s="309"/>
      <c r="H728" s="309"/>
      <c r="I728" s="309"/>
    </row>
    <row r="729">
      <c r="D729" s="309"/>
      <c r="E729" s="309"/>
      <c r="F729" s="309"/>
      <c r="G729" s="309"/>
      <c r="H729" s="309"/>
      <c r="I729" s="309"/>
    </row>
    <row r="730">
      <c r="D730" s="309"/>
      <c r="E730" s="309"/>
      <c r="F730" s="309"/>
      <c r="G730" s="309"/>
      <c r="H730" s="309"/>
      <c r="I730" s="309"/>
    </row>
    <row r="731">
      <c r="D731" s="309"/>
      <c r="E731" s="309"/>
      <c r="F731" s="309"/>
      <c r="G731" s="309"/>
      <c r="H731" s="309"/>
      <c r="I731" s="309"/>
    </row>
    <row r="732">
      <c r="D732" s="309"/>
      <c r="E732" s="309"/>
      <c r="F732" s="309"/>
      <c r="G732" s="309"/>
      <c r="H732" s="309"/>
      <c r="I732" s="309"/>
    </row>
    <row r="733">
      <c r="D733" s="309"/>
      <c r="E733" s="309"/>
      <c r="F733" s="309"/>
      <c r="G733" s="309"/>
      <c r="H733" s="309"/>
      <c r="I733" s="309"/>
    </row>
    <row r="734">
      <c r="D734" s="309"/>
      <c r="E734" s="309"/>
      <c r="F734" s="309"/>
      <c r="G734" s="309"/>
      <c r="H734" s="309"/>
      <c r="I734" s="309"/>
    </row>
    <row r="735">
      <c r="D735" s="309"/>
      <c r="E735" s="309"/>
      <c r="F735" s="309"/>
      <c r="G735" s="309"/>
      <c r="H735" s="309"/>
      <c r="I735" s="309"/>
    </row>
    <row r="736">
      <c r="D736" s="309"/>
      <c r="E736" s="309"/>
      <c r="F736" s="309"/>
      <c r="G736" s="309"/>
      <c r="H736" s="309"/>
      <c r="I736" s="309"/>
    </row>
    <row r="737">
      <c r="D737" s="309"/>
      <c r="E737" s="309"/>
      <c r="F737" s="309"/>
      <c r="G737" s="309"/>
      <c r="H737" s="309"/>
      <c r="I737" s="309"/>
    </row>
    <row r="738">
      <c r="D738" s="309"/>
      <c r="E738" s="309"/>
      <c r="F738" s="309"/>
      <c r="G738" s="309"/>
      <c r="H738" s="309"/>
      <c r="I738" s="309"/>
    </row>
    <row r="739">
      <c r="D739" s="309"/>
      <c r="E739" s="309"/>
      <c r="F739" s="309"/>
      <c r="G739" s="309"/>
      <c r="H739" s="309"/>
      <c r="I739" s="309"/>
    </row>
    <row r="740">
      <c r="D740" s="309"/>
      <c r="E740" s="309"/>
      <c r="F740" s="309"/>
      <c r="G740" s="309"/>
      <c r="H740" s="309"/>
      <c r="I740" s="309"/>
    </row>
    <row r="741">
      <c r="D741" s="309"/>
      <c r="E741" s="309"/>
      <c r="F741" s="309"/>
      <c r="G741" s="309"/>
      <c r="H741" s="309"/>
      <c r="I741" s="309"/>
    </row>
    <row r="742">
      <c r="D742" s="309"/>
      <c r="E742" s="309"/>
      <c r="F742" s="309"/>
      <c r="G742" s="309"/>
      <c r="H742" s="309"/>
      <c r="I742" s="309"/>
    </row>
    <row r="743">
      <c r="D743" s="309"/>
      <c r="E743" s="309"/>
      <c r="F743" s="309"/>
      <c r="G743" s="309"/>
      <c r="H743" s="309"/>
      <c r="I743" s="309"/>
    </row>
    <row r="744">
      <c r="D744" s="309"/>
      <c r="E744" s="309"/>
      <c r="F744" s="309"/>
      <c r="G744" s="309"/>
      <c r="H744" s="309"/>
      <c r="I744" s="309"/>
    </row>
    <row r="745">
      <c r="D745" s="309"/>
      <c r="E745" s="309"/>
      <c r="F745" s="309"/>
      <c r="G745" s="309"/>
      <c r="H745" s="309"/>
      <c r="I745" s="309"/>
    </row>
    <row r="746">
      <c r="D746" s="309"/>
      <c r="E746" s="309"/>
      <c r="F746" s="309"/>
      <c r="G746" s="309"/>
      <c r="H746" s="309"/>
      <c r="I746" s="309"/>
    </row>
    <row r="747">
      <c r="D747" s="309"/>
      <c r="E747" s="309"/>
      <c r="F747" s="309"/>
      <c r="G747" s="309"/>
      <c r="H747" s="309"/>
      <c r="I747" s="309"/>
    </row>
    <row r="748">
      <c r="D748" s="309"/>
      <c r="E748" s="309"/>
      <c r="F748" s="309"/>
      <c r="G748" s="309"/>
      <c r="H748" s="309"/>
      <c r="I748" s="309"/>
    </row>
    <row r="749">
      <c r="D749" s="309"/>
      <c r="E749" s="309"/>
      <c r="F749" s="309"/>
      <c r="G749" s="309"/>
      <c r="H749" s="309"/>
      <c r="I749" s="309"/>
    </row>
    <row r="750">
      <c r="D750" s="309"/>
      <c r="E750" s="309"/>
      <c r="F750" s="309"/>
      <c r="G750" s="309"/>
      <c r="H750" s="309"/>
      <c r="I750" s="309"/>
    </row>
    <row r="751">
      <c r="D751" s="309"/>
      <c r="E751" s="309"/>
      <c r="F751" s="309"/>
      <c r="G751" s="309"/>
      <c r="H751" s="309"/>
      <c r="I751" s="309"/>
    </row>
    <row r="752">
      <c r="D752" s="309"/>
      <c r="E752" s="309"/>
      <c r="F752" s="309"/>
      <c r="G752" s="309"/>
      <c r="H752" s="309"/>
      <c r="I752" s="309"/>
    </row>
    <row r="753">
      <c r="D753" s="309"/>
      <c r="E753" s="309"/>
      <c r="F753" s="309"/>
      <c r="G753" s="309"/>
      <c r="H753" s="309"/>
      <c r="I753" s="309"/>
    </row>
    <row r="754">
      <c r="D754" s="309"/>
      <c r="E754" s="309"/>
      <c r="F754" s="309"/>
      <c r="G754" s="309"/>
      <c r="H754" s="309"/>
      <c r="I754" s="309"/>
    </row>
    <row r="755">
      <c r="D755" s="309"/>
      <c r="E755" s="309"/>
      <c r="F755" s="309"/>
      <c r="G755" s="309"/>
      <c r="H755" s="309"/>
      <c r="I755" s="309"/>
    </row>
    <row r="756">
      <c r="D756" s="309"/>
      <c r="E756" s="309"/>
      <c r="F756" s="309"/>
      <c r="G756" s="309"/>
      <c r="H756" s="309"/>
      <c r="I756" s="309"/>
    </row>
    <row r="757">
      <c r="D757" s="309"/>
      <c r="E757" s="309"/>
      <c r="F757" s="309"/>
      <c r="G757" s="309"/>
      <c r="H757" s="309"/>
      <c r="I757" s="309"/>
    </row>
    <row r="758">
      <c r="D758" s="309"/>
      <c r="E758" s="309"/>
      <c r="F758" s="309"/>
      <c r="G758" s="309"/>
      <c r="H758" s="309"/>
      <c r="I758" s="309"/>
    </row>
    <row r="759">
      <c r="D759" s="309"/>
      <c r="E759" s="309"/>
      <c r="F759" s="309"/>
      <c r="G759" s="309"/>
      <c r="H759" s="309"/>
      <c r="I759" s="309"/>
    </row>
    <row r="760">
      <c r="D760" s="309"/>
      <c r="E760" s="309"/>
      <c r="F760" s="309"/>
      <c r="G760" s="309"/>
      <c r="H760" s="309"/>
      <c r="I760" s="309"/>
    </row>
    <row r="761">
      <c r="D761" s="309"/>
      <c r="E761" s="309"/>
      <c r="F761" s="309"/>
      <c r="G761" s="309"/>
      <c r="H761" s="309"/>
      <c r="I761" s="309"/>
    </row>
    <row r="762">
      <c r="D762" s="309"/>
      <c r="E762" s="309"/>
      <c r="F762" s="309"/>
      <c r="G762" s="309"/>
      <c r="H762" s="309"/>
      <c r="I762" s="309"/>
    </row>
    <row r="763">
      <c r="D763" s="309"/>
      <c r="E763" s="309"/>
      <c r="F763" s="309"/>
      <c r="G763" s="309"/>
      <c r="H763" s="309"/>
      <c r="I763" s="309"/>
    </row>
    <row r="764">
      <c r="D764" s="309"/>
      <c r="E764" s="309"/>
      <c r="F764" s="309"/>
      <c r="G764" s="309"/>
      <c r="H764" s="309"/>
      <c r="I764" s="309"/>
    </row>
    <row r="765">
      <c r="D765" s="309"/>
      <c r="E765" s="309"/>
      <c r="F765" s="309"/>
      <c r="G765" s="309"/>
      <c r="H765" s="309"/>
      <c r="I765" s="309"/>
    </row>
    <row r="766">
      <c r="D766" s="309"/>
      <c r="E766" s="309"/>
      <c r="F766" s="309"/>
      <c r="G766" s="309"/>
      <c r="H766" s="309"/>
      <c r="I766" s="309"/>
    </row>
    <row r="767">
      <c r="D767" s="309"/>
      <c r="E767" s="309"/>
      <c r="F767" s="309"/>
      <c r="G767" s="309"/>
      <c r="H767" s="309"/>
      <c r="I767" s="309"/>
    </row>
    <row r="768">
      <c r="D768" s="309"/>
      <c r="E768" s="309"/>
      <c r="F768" s="309"/>
      <c r="G768" s="309"/>
      <c r="H768" s="309"/>
      <c r="I768" s="309"/>
    </row>
    <row r="769">
      <c r="D769" s="309"/>
      <c r="E769" s="309"/>
      <c r="F769" s="309"/>
      <c r="G769" s="309"/>
      <c r="H769" s="309"/>
      <c r="I769" s="309"/>
    </row>
  </sheetData>
  <mergeCells count="302">
    <mergeCell ref="D44:H44"/>
    <mergeCell ref="G45:H45"/>
    <mergeCell ref="G46:H46"/>
    <mergeCell ref="G47:H47"/>
    <mergeCell ref="G48:H48"/>
    <mergeCell ref="E49:H49"/>
    <mergeCell ref="E50:H50"/>
    <mergeCell ref="E51:F51"/>
    <mergeCell ref="E52:F52"/>
    <mergeCell ref="E53:F53"/>
    <mergeCell ref="D54:H54"/>
    <mergeCell ref="G55:H55"/>
    <mergeCell ref="G56:H56"/>
    <mergeCell ref="G57:H57"/>
    <mergeCell ref="C2:I2"/>
    <mergeCell ref="D3:H3"/>
    <mergeCell ref="D4:H4"/>
    <mergeCell ref="G5:H5"/>
    <mergeCell ref="G6:H6"/>
    <mergeCell ref="G7:H7"/>
    <mergeCell ref="G8:H8"/>
    <mergeCell ref="E9:H9"/>
    <mergeCell ref="E10:H10"/>
    <mergeCell ref="E11:F11"/>
    <mergeCell ref="E12:F12"/>
    <mergeCell ref="E13:F13"/>
    <mergeCell ref="D14:H14"/>
    <mergeCell ref="G15:H15"/>
    <mergeCell ref="G16:H16"/>
    <mergeCell ref="G17:H17"/>
    <mergeCell ref="G18:H18"/>
    <mergeCell ref="E19:H19"/>
    <mergeCell ref="E20:H20"/>
    <mergeCell ref="E21:F21"/>
    <mergeCell ref="E22:F22"/>
    <mergeCell ref="E23:F23"/>
    <mergeCell ref="D24:H24"/>
    <mergeCell ref="G25:H25"/>
    <mergeCell ref="G26:H26"/>
    <mergeCell ref="G27:H27"/>
    <mergeCell ref="G28:H28"/>
    <mergeCell ref="E29:H29"/>
    <mergeCell ref="E30:H30"/>
    <mergeCell ref="E31:F31"/>
    <mergeCell ref="E32:F32"/>
    <mergeCell ref="E33:F33"/>
    <mergeCell ref="D34:H34"/>
    <mergeCell ref="G35:H35"/>
    <mergeCell ref="G36:H36"/>
    <mergeCell ref="G37:H37"/>
    <mergeCell ref="G38:H38"/>
    <mergeCell ref="E39:H39"/>
    <mergeCell ref="E40:H40"/>
    <mergeCell ref="E41:F41"/>
    <mergeCell ref="E42:F42"/>
    <mergeCell ref="E43:F43"/>
    <mergeCell ref="G58:H58"/>
    <mergeCell ref="E59:H59"/>
    <mergeCell ref="E60:H60"/>
    <mergeCell ref="E61:F61"/>
    <mergeCell ref="E62:F62"/>
    <mergeCell ref="E63:F63"/>
    <mergeCell ref="D64:H64"/>
    <mergeCell ref="G65:H65"/>
    <mergeCell ref="G66:H66"/>
    <mergeCell ref="G67:H67"/>
    <mergeCell ref="G68:H68"/>
    <mergeCell ref="E69:H69"/>
    <mergeCell ref="E70:H70"/>
    <mergeCell ref="E71:F71"/>
    <mergeCell ref="E72:F72"/>
    <mergeCell ref="E73:F73"/>
    <mergeCell ref="D74:H74"/>
    <mergeCell ref="G75:H75"/>
    <mergeCell ref="G76:H76"/>
    <mergeCell ref="G77:H77"/>
    <mergeCell ref="G78:H78"/>
    <mergeCell ref="E79:H79"/>
    <mergeCell ref="E80:H80"/>
    <mergeCell ref="E81:F81"/>
    <mergeCell ref="E82:F82"/>
    <mergeCell ref="E83:F83"/>
    <mergeCell ref="D84:H84"/>
    <mergeCell ref="G85:H85"/>
    <mergeCell ref="G86:H86"/>
    <mergeCell ref="G87:H87"/>
    <mergeCell ref="G88:H88"/>
    <mergeCell ref="E89:H89"/>
    <mergeCell ref="E90:H90"/>
    <mergeCell ref="E91:F91"/>
    <mergeCell ref="E92:F92"/>
    <mergeCell ref="E93:F93"/>
    <mergeCell ref="D94:H94"/>
    <mergeCell ref="G95:H95"/>
    <mergeCell ref="G96:H96"/>
    <mergeCell ref="G97:H97"/>
    <mergeCell ref="G98:H98"/>
    <mergeCell ref="E99:H99"/>
    <mergeCell ref="E100:H100"/>
    <mergeCell ref="E101:F101"/>
    <mergeCell ref="E102:F102"/>
    <mergeCell ref="E103:F103"/>
    <mergeCell ref="D104:H104"/>
    <mergeCell ref="G105:H105"/>
    <mergeCell ref="G106:H106"/>
    <mergeCell ref="G107:H107"/>
    <mergeCell ref="G108:H108"/>
    <mergeCell ref="E109:H109"/>
    <mergeCell ref="E110:H110"/>
    <mergeCell ref="E111:F111"/>
    <mergeCell ref="E112:F112"/>
    <mergeCell ref="E113:F113"/>
    <mergeCell ref="D114:H114"/>
    <mergeCell ref="G115:H115"/>
    <mergeCell ref="G116:H116"/>
    <mergeCell ref="G117:H117"/>
    <mergeCell ref="G118:H118"/>
    <mergeCell ref="E119:H119"/>
    <mergeCell ref="E120:H120"/>
    <mergeCell ref="E121:F121"/>
    <mergeCell ref="E122:F122"/>
    <mergeCell ref="E123:F123"/>
    <mergeCell ref="D124:H124"/>
    <mergeCell ref="G125:H125"/>
    <mergeCell ref="G126:H126"/>
    <mergeCell ref="G127:H127"/>
    <mergeCell ref="G128:H128"/>
    <mergeCell ref="E129:H129"/>
    <mergeCell ref="E130:H130"/>
    <mergeCell ref="E131:F131"/>
    <mergeCell ref="E132:F132"/>
    <mergeCell ref="E133:F133"/>
    <mergeCell ref="D134:H134"/>
    <mergeCell ref="G135:H135"/>
    <mergeCell ref="G136:H136"/>
    <mergeCell ref="G137:H137"/>
    <mergeCell ref="G138:H138"/>
    <mergeCell ref="E139:H139"/>
    <mergeCell ref="E140:H140"/>
    <mergeCell ref="E141:F141"/>
    <mergeCell ref="E142:F142"/>
    <mergeCell ref="E143:F143"/>
    <mergeCell ref="D144:H144"/>
    <mergeCell ref="G145:H145"/>
    <mergeCell ref="G146:H146"/>
    <mergeCell ref="G147:H147"/>
    <mergeCell ref="G148:H148"/>
    <mergeCell ref="E149:H149"/>
    <mergeCell ref="E150:H150"/>
    <mergeCell ref="E151:F151"/>
    <mergeCell ref="E152:F152"/>
    <mergeCell ref="E153:F153"/>
    <mergeCell ref="D154:H154"/>
    <mergeCell ref="G155:H155"/>
    <mergeCell ref="G156:H156"/>
    <mergeCell ref="G157:H157"/>
    <mergeCell ref="G158:H158"/>
    <mergeCell ref="E159:H159"/>
    <mergeCell ref="E160:H160"/>
    <mergeCell ref="E161:F161"/>
    <mergeCell ref="E162:F162"/>
    <mergeCell ref="E163:F163"/>
    <mergeCell ref="D164:H164"/>
    <mergeCell ref="G165:H165"/>
    <mergeCell ref="G166:H166"/>
    <mergeCell ref="G167:H167"/>
    <mergeCell ref="G168:H168"/>
    <mergeCell ref="E169:H169"/>
    <mergeCell ref="E170:H170"/>
    <mergeCell ref="E171:F171"/>
    <mergeCell ref="E172:F172"/>
    <mergeCell ref="E173:F173"/>
    <mergeCell ref="D174:H174"/>
    <mergeCell ref="G175:H175"/>
    <mergeCell ref="G176:H176"/>
    <mergeCell ref="G177:H177"/>
    <mergeCell ref="G178:H178"/>
    <mergeCell ref="E179:H179"/>
    <mergeCell ref="E180:H180"/>
    <mergeCell ref="E181:F181"/>
    <mergeCell ref="E182:F182"/>
    <mergeCell ref="E183:F183"/>
    <mergeCell ref="D184:H184"/>
    <mergeCell ref="G185:H185"/>
    <mergeCell ref="G186:H186"/>
    <mergeCell ref="G187:H187"/>
    <mergeCell ref="G188:H188"/>
    <mergeCell ref="E189:H189"/>
    <mergeCell ref="E190:H190"/>
    <mergeCell ref="E191:F191"/>
    <mergeCell ref="E192:F192"/>
    <mergeCell ref="E193:F193"/>
    <mergeCell ref="D194:H194"/>
    <mergeCell ref="G195:H195"/>
    <mergeCell ref="G196:H196"/>
    <mergeCell ref="G197:H197"/>
    <mergeCell ref="G198:H198"/>
    <mergeCell ref="E199:H199"/>
    <mergeCell ref="E200:H200"/>
    <mergeCell ref="E201:F201"/>
    <mergeCell ref="E202:F202"/>
    <mergeCell ref="E203:F203"/>
    <mergeCell ref="D204:H204"/>
    <mergeCell ref="G205:H205"/>
    <mergeCell ref="G206:H206"/>
    <mergeCell ref="G207:H207"/>
    <mergeCell ref="G208:H208"/>
    <mergeCell ref="E209:H209"/>
    <mergeCell ref="E210:H210"/>
    <mergeCell ref="E211:F211"/>
    <mergeCell ref="D254:H254"/>
    <mergeCell ref="G255:H255"/>
    <mergeCell ref="G256:H256"/>
    <mergeCell ref="G257:H257"/>
    <mergeCell ref="G258:H258"/>
    <mergeCell ref="E259:H259"/>
    <mergeCell ref="E260:H260"/>
    <mergeCell ref="E261:F261"/>
    <mergeCell ref="E262:F262"/>
    <mergeCell ref="E263:F263"/>
    <mergeCell ref="D264:H264"/>
    <mergeCell ref="G265:H265"/>
    <mergeCell ref="G266:H266"/>
    <mergeCell ref="G267:H267"/>
    <mergeCell ref="G275:H275"/>
    <mergeCell ref="G276:H276"/>
    <mergeCell ref="G277:H277"/>
    <mergeCell ref="G278:H278"/>
    <mergeCell ref="E279:H279"/>
    <mergeCell ref="E280:H280"/>
    <mergeCell ref="E281:F281"/>
    <mergeCell ref="E282:F282"/>
    <mergeCell ref="E283:F283"/>
    <mergeCell ref="D284:H284"/>
    <mergeCell ref="G285:H285"/>
    <mergeCell ref="G286:H286"/>
    <mergeCell ref="G287:H287"/>
    <mergeCell ref="G288:H288"/>
    <mergeCell ref="G296:H296"/>
    <mergeCell ref="G297:H297"/>
    <mergeCell ref="G298:H298"/>
    <mergeCell ref="E299:H299"/>
    <mergeCell ref="E300:H300"/>
    <mergeCell ref="E301:F301"/>
    <mergeCell ref="E302:F302"/>
    <mergeCell ref="E303:F303"/>
    <mergeCell ref="E289:H289"/>
    <mergeCell ref="E290:H290"/>
    <mergeCell ref="E291:F291"/>
    <mergeCell ref="E292:F292"/>
    <mergeCell ref="E293:F293"/>
    <mergeCell ref="D294:H294"/>
    <mergeCell ref="G295:H295"/>
    <mergeCell ref="E212:F212"/>
    <mergeCell ref="E213:F213"/>
    <mergeCell ref="D214:H214"/>
    <mergeCell ref="G215:H215"/>
    <mergeCell ref="G216:H216"/>
    <mergeCell ref="G217:H217"/>
    <mergeCell ref="G218:H218"/>
    <mergeCell ref="E219:H219"/>
    <mergeCell ref="E220:H220"/>
    <mergeCell ref="E221:F221"/>
    <mergeCell ref="E222:F222"/>
    <mergeCell ref="E223:F223"/>
    <mergeCell ref="D224:H224"/>
    <mergeCell ref="G225:H225"/>
    <mergeCell ref="G226:H226"/>
    <mergeCell ref="G227:H227"/>
    <mergeCell ref="G228:H228"/>
    <mergeCell ref="E229:H229"/>
    <mergeCell ref="E230:H230"/>
    <mergeCell ref="E231:F231"/>
    <mergeCell ref="E232:F232"/>
    <mergeCell ref="E233:F233"/>
    <mergeCell ref="D234:H234"/>
    <mergeCell ref="G235:H235"/>
    <mergeCell ref="G236:H236"/>
    <mergeCell ref="G237:H237"/>
    <mergeCell ref="G238:H238"/>
    <mergeCell ref="E239:H239"/>
    <mergeCell ref="E240:H240"/>
    <mergeCell ref="E241:F241"/>
    <mergeCell ref="E242:F242"/>
    <mergeCell ref="E243:F243"/>
    <mergeCell ref="D244:H244"/>
    <mergeCell ref="G245:H245"/>
    <mergeCell ref="G246:H246"/>
    <mergeCell ref="G247:H247"/>
    <mergeCell ref="G248:H248"/>
    <mergeCell ref="E249:H249"/>
    <mergeCell ref="E250:H250"/>
    <mergeCell ref="E251:F251"/>
    <mergeCell ref="E252:F252"/>
    <mergeCell ref="E253:F253"/>
    <mergeCell ref="G268:H268"/>
    <mergeCell ref="E269:H269"/>
    <mergeCell ref="E270:H270"/>
    <mergeCell ref="E271:F271"/>
    <mergeCell ref="E272:F272"/>
    <mergeCell ref="E273:F273"/>
    <mergeCell ref="D274:H274"/>
  </mergeCells>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3" priority="1" operator="equal">
      <formula>"A"</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4" priority="2" operator="equal">
      <formula>"B"</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5" priority="3" operator="equal">
      <formula>"C1"</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6" priority="4" operator="equal">
      <formula>"C2"</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7" priority="5" operator="equal">
      <formula>"D"</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8" priority="6" operator="equal">
      <formula>"R"</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9" priority="7" operator="equal">
      <formula>"N"</formula>
    </cfRule>
  </conditionalFormatting>
  <printOptions gridLines="1" horizontalCentered="1"/>
  <pageMargins bottom="0.75" footer="0.0" header="0.0" left="0.7" right="0.7" top="0.75"/>
  <pageSetup fitToHeight="0" paperSize="9" cellComments="atEnd" orientation="portrait" pageOrder="overThenDown"/>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1" width="4.25"/>
    <col customWidth="1" hidden="1" min="2" max="2" width="7.13"/>
    <col customWidth="1" min="3" max="3" width="1.75"/>
    <col customWidth="1" min="4" max="8" width="6.38"/>
    <col customWidth="1" min="9" max="9" width="0.38"/>
  </cols>
  <sheetData>
    <row r="1" ht="25.5" hidden="1" customHeight="1"/>
    <row r="2" ht="6.0" customHeight="1">
      <c r="B2" s="268"/>
      <c r="C2" s="268"/>
    </row>
    <row r="3" ht="48.0" customHeight="1">
      <c r="D3" s="313" t="s">
        <v>117</v>
      </c>
    </row>
    <row r="4" ht="20.25" customHeight="1">
      <c r="D4" s="270">
        <f>NOW()</f>
        <v>46082.17201</v>
      </c>
    </row>
    <row r="5" ht="27.0" customHeight="1">
      <c r="A5" s="86" t="s">
        <v>66</v>
      </c>
      <c r="B5" s="86">
        <v>1.0</v>
      </c>
      <c r="D5" s="271" t="s">
        <v>80</v>
      </c>
      <c r="E5" s="272" t="s">
        <v>81</v>
      </c>
      <c r="F5" s="272" t="s">
        <v>82</v>
      </c>
      <c r="G5" s="273" t="s">
        <v>49</v>
      </c>
      <c r="H5" s="274"/>
    </row>
    <row r="6" ht="27.0" customHeight="1">
      <c r="A6" s="86"/>
      <c r="B6" s="86" t="s">
        <v>116</v>
      </c>
      <c r="D6" s="275">
        <f t="array" ref="D6">IFERROR(INDEX('計測入力シート（ここのみ編集可）'!$BN$17:$BN$116,MATCH(A5&amp;B5,'計測入力シート（ここのみ編集可）'!$BO$17:$BO$116,0)),"")</f>
        <v>1</v>
      </c>
      <c r="E6" s="276" t="str">
        <f t="array" ref="E6">IFERROR(INDEX('計測入力シート（ここのみ編集可）'!$BP$17:$BP$116,MATCH(A5&amp;B5,'計測入力シート（ここのみ編集可）'!$BO$17:$BO$116,0)),"")</f>
        <v>-</v>
      </c>
      <c r="F6" s="277" t="str">
        <f t="array" ref="F6">IFERROR(INDEX('計測入力シート（ここのみ編集可）'!$BR$17:$BR$116,MATCH(A5&amp;B5,'計測入力シート（ここのみ編集可）'!$BO$17:$BO$116,0)),"")</f>
        <v>-</v>
      </c>
      <c r="G6" s="278">
        <f t="array" ref="G6">IFERROR(INDEX('計測入力シート（ここのみ編集可）'!$BL$17:$BL$116,MATCH(A5&amp;B5,'計測入力シート（ここのみ編集可）'!$BO$17:$BO$116,0)),"")</f>
        <v>13</v>
      </c>
      <c r="H6" s="279"/>
    </row>
    <row r="7" ht="27.0" customHeight="1">
      <c r="D7" s="280" t="s">
        <v>2</v>
      </c>
      <c r="E7" s="281">
        <f t="array" ref="E7">IFERROR(INDEX('計測入力シート（ここのみ編集可）'!$C$17:$C$116,MATCH(A5&amp;B5,'計測入力シート（ここのみ編集可）'!$BO$17:$BO$116,0)),"")</f>
        <v>13</v>
      </c>
      <c r="F7" s="282" t="s">
        <v>17</v>
      </c>
      <c r="G7" s="283" t="str">
        <f t="array" ref="G7">IFERROR(INDEX('計測入力シート（ここのみ編集可）'!$D$17:$D$116,MATCH(A5&amp;B5,'計測入力シート（ここのみ編集可）'!$BO$17:$BO$116,0)),"")</f>
        <v>川崎幸治</v>
      </c>
      <c r="H7" s="284"/>
    </row>
    <row r="8" ht="27.0" customHeight="1">
      <c r="D8" s="285" t="s">
        <v>1</v>
      </c>
      <c r="E8" s="286" t="str">
        <f t="array" ref="E8">IFERROR(INDEX('計測入力シート（ここのみ編集可）'!$B$17:$B$116,MATCH(A5&amp;B5,'計測入力シート（ここのみ編集可）'!$BO$17:$BO$116,0)),"")</f>
        <v>D</v>
      </c>
      <c r="F8" s="287" t="s">
        <v>18</v>
      </c>
      <c r="G8" s="288" t="str">
        <f t="array" ref="G8">IFERROR(INDEX('計測入力シート（ここのみ編集可）'!$E$17:$E$116,MATCH(A5&amp;B5,'計測入力シート（ここのみ編集可）'!$BO$17:$BO$116,0)),"")</f>
        <v>トリッカー</v>
      </c>
      <c r="H8" s="289"/>
    </row>
    <row r="9" ht="24.75" customHeight="1">
      <c r="D9" s="290" t="s">
        <v>92</v>
      </c>
      <c r="E9" s="291" t="str">
        <f t="array" ref="E9">IFERROR(INDEX(#REF!,MATCH(A5&amp;B5,'計測入力シート（ここのみ編集可）'!$BO$17:$BO$116,0)),"")</f>
        <v/>
      </c>
      <c r="H9" s="232"/>
    </row>
    <row r="10" ht="52.5" customHeight="1">
      <c r="D10" s="292" t="s">
        <v>100</v>
      </c>
      <c r="E10" s="293" t="str">
        <f t="array" ref="E10">IFERROR(INDEX(#REF!,MATCH(A5&amp;B5,'計測入力シート（ここのみ編集可）'!$BO$17:$BO$116,0)),"")</f>
        <v/>
      </c>
      <c r="F10" s="95"/>
      <c r="G10" s="95"/>
      <c r="H10" s="96"/>
    </row>
    <row r="11" ht="20.25" customHeight="1">
      <c r="D11" s="294" t="s">
        <v>39</v>
      </c>
      <c r="E11" s="295" t="str">
        <f t="array" ref="E11">IFERROR(INDEX('計測入力シート（ここのみ編集可）'!$AW$17:$AW$116,MATCH(A5&amp;B5,'計測入力シート（ここのみ編集可）'!$BO$17:$BO$116,0)),"")</f>
        <v>1:47:950</v>
      </c>
      <c r="F11" s="296"/>
      <c r="G11" s="297" t="s">
        <v>110</v>
      </c>
      <c r="H11" s="298">
        <f t="array" ref="H11">IFERROR(INDEX('計測入力シート（ここのみ編集可）'!$AY$17:$AY$116,MATCH(A5&amp;B5,'計測入力シート（ここのみ編集可）'!$BO$17:$BO$116,0)),"")</f>
        <v>3</v>
      </c>
    </row>
    <row r="12" ht="20.25" customHeight="1">
      <c r="D12" s="299" t="s">
        <v>42</v>
      </c>
      <c r="E12" s="300" t="str">
        <f t="array" ref="E12">IFERROR(INDEX('計測入力シート（ここのみ編集可）'!$AZ$17:$AZ$116,MATCH(A5&amp;B5,'計測入力シート（ここのみ編集可）'!$BO$17:$BO$116,0)),"")</f>
        <v>1:47:289</v>
      </c>
      <c r="F12" s="116"/>
      <c r="G12" s="301" t="s">
        <v>111</v>
      </c>
      <c r="H12" s="302" t="str">
        <f t="array" ref="H12">IFERROR(INDEX('計測入力シート（ここのみ編集可）'!$BB$17:$BB$116,MATCH(A5&amp;B5,'計測入力シート（ここのみ編集可）'!$BO$17:$BO$116,0)),"")</f>
        <v>-</v>
      </c>
    </row>
    <row r="13" ht="20.25" customHeight="1">
      <c r="D13" s="303" t="s">
        <v>112</v>
      </c>
      <c r="E13" s="304" t="str">
        <f t="array" ref="E13">IFERROR(INDEX('計測入力シート（ここのみ編集可）'!$BC$17:$BC$116,MATCH(A5&amp;B5,'計測入力シート（ここのみ編集可）'!$BO$17:$BO$116,0)),"")</f>
        <v>1:47:289</v>
      </c>
      <c r="F13" s="305"/>
      <c r="G13" s="306" t="s">
        <v>25</v>
      </c>
      <c r="H13" s="307">
        <f t="array" ref="H13">IFERROR(INDEX('計測入力シート（ここのみ編集可）'!$BD$17:$BD$116,MATCH(A5&amp;B5,'計測入力シート（ここのみ編集可）'!$BO$17:$BO$116,0)),"")</f>
        <v>1.099204967</v>
      </c>
    </row>
    <row r="14" ht="20.25" customHeight="1">
      <c r="D14" s="308"/>
    </row>
    <row r="15" ht="27.0" customHeight="1">
      <c r="A15" s="52" t="str">
        <f>A5</f>
        <v>D</v>
      </c>
      <c r="B15" s="52">
        <f>B5+1</f>
        <v>2</v>
      </c>
      <c r="D15" s="271" t="s">
        <v>80</v>
      </c>
      <c r="E15" s="272" t="s">
        <v>81</v>
      </c>
      <c r="F15" s="272" t="s">
        <v>82</v>
      </c>
      <c r="G15" s="273" t="s">
        <v>49</v>
      </c>
      <c r="H15" s="274"/>
    </row>
    <row r="16" ht="27.0" customHeight="1">
      <c r="A16" s="86"/>
      <c r="B16" s="86"/>
      <c r="D16" s="275">
        <f t="array" ref="D16">IFERROR(INDEX('計測入力シート（ここのみ編集可）'!$BN$17:$BN$116,MATCH(A15&amp;B15,'計測入力シート（ここのみ編集可）'!$BO$17:$BO$116,0)),"")</f>
        <v>2</v>
      </c>
      <c r="E16" s="276">
        <f t="array" ref="E16">IFERROR(INDEX('計測入力シート（ここのみ編集可）'!$BP$17:$BP$116,MATCH(A15&amp;B15,'計測入力シート（ここのみ編集可）'!$BO$17:$BO$116,0)),"")</f>
        <v>1</v>
      </c>
      <c r="F16" s="277" t="str">
        <f t="array" ref="F16">IFERROR(INDEX('計測入力シート（ここのみ編集可）'!$BR$17:$BR$116,MATCH(A15&amp;B15,'計測入力シート（ここのみ編集可）'!$BO$17:$BO$116,0)),"")</f>
        <v>-</v>
      </c>
      <c r="G16" s="278">
        <f t="array" ref="G16">IFERROR(INDEX('計測入力シート（ここのみ編集可）'!$BL$17:$BL$116,MATCH(A15&amp;B15,'計測入力シート（ここのみ編集可）'!$BO$17:$BO$116,0)),"")</f>
        <v>15</v>
      </c>
      <c r="H16" s="279"/>
    </row>
    <row r="17" ht="27.0" customHeight="1">
      <c r="D17" s="280" t="s">
        <v>2</v>
      </c>
      <c r="E17" s="281">
        <f t="array" ref="E17">IFERROR(INDEX('計測入力シート（ここのみ編集可）'!$C$17:$C$116,MATCH(A15&amp;B15,'計測入力シート（ここのみ編集可）'!$BO$17:$BO$116,0)),"")</f>
        <v>7</v>
      </c>
      <c r="F17" s="282" t="s">
        <v>17</v>
      </c>
      <c r="G17" s="283" t="str">
        <f t="array" ref="G17">IFERROR(INDEX('計測入力シート（ここのみ編集可）'!$D$17:$D$116,MATCH(A15&amp;B15,'計測入力シート（ここのみ編集可）'!$BO$17:$BO$116,0)),"")</f>
        <v>ふじもん</v>
      </c>
      <c r="H17" s="284"/>
    </row>
    <row r="18" ht="27.0" customHeight="1">
      <c r="D18" s="285" t="s">
        <v>1</v>
      </c>
      <c r="E18" s="286" t="str">
        <f t="array" ref="E18">IFERROR(INDEX('計測入力シート（ここのみ編集可）'!$B$17:$B$116,MATCH(A15&amp;B15,'計測入力シート（ここのみ編集可）'!$BO$17:$BO$116,0)),"")</f>
        <v>D</v>
      </c>
      <c r="F18" s="287" t="s">
        <v>18</v>
      </c>
      <c r="G18" s="288" t="str">
        <f t="array" ref="G18">IFERROR(INDEX('計測入力シート（ここのみ編集可）'!$E$17:$E$116,MATCH(A15&amp;B15,'計測入力シート（ここのみ編集可）'!$BO$17:$BO$116,0)),"")</f>
        <v>MR150</v>
      </c>
      <c r="H18" s="289"/>
    </row>
    <row r="19" ht="24.75" customHeight="1">
      <c r="D19" s="290" t="s">
        <v>92</v>
      </c>
      <c r="E19" s="291" t="str">
        <f t="array" ref="E19">IFERROR(INDEX(#REF!,MATCH(A15&amp;B15,'計測入力シート（ここのみ編集可）'!$BO$17:$BO$116,0)),"")</f>
        <v/>
      </c>
      <c r="H19" s="232"/>
    </row>
    <row r="20" ht="52.5" customHeight="1">
      <c r="D20" s="292" t="s">
        <v>100</v>
      </c>
      <c r="E20" s="293" t="str">
        <f t="array" ref="E20">IFERROR(INDEX(#REF!,MATCH(A15&amp;B15,'計測入力シート（ここのみ編集可）'!$BO$17:$BO$116,0)),"")</f>
        <v/>
      </c>
      <c r="F20" s="95"/>
      <c r="G20" s="95"/>
      <c r="H20" s="96"/>
    </row>
    <row r="21" ht="20.25" customHeight="1">
      <c r="D21" s="294" t="s">
        <v>39</v>
      </c>
      <c r="E21" s="295" t="str">
        <f t="array" ref="E21">IFERROR(INDEX('計測入力シート（ここのみ編集可）'!$AW$17:$AW$116,MATCH(A15&amp;B15,'計測入力シート（ここのみ編集可）'!$BO$17:$BO$116,0)),"")</f>
        <v>1:50:557</v>
      </c>
      <c r="F21" s="296"/>
      <c r="G21" s="297" t="s">
        <v>110</v>
      </c>
      <c r="H21" s="298" t="str">
        <f t="array" ref="H21">IFERROR(INDEX('計測入力シート（ここのみ編集可）'!$AY$17:$AY$116,MATCH(A15&amp;B15,'計測入力シート（ここのみ編集可）'!$BO$17:$BO$116,0)),"")</f>
        <v>-</v>
      </c>
    </row>
    <row r="22" ht="20.25" customHeight="1">
      <c r="D22" s="299" t="s">
        <v>42</v>
      </c>
      <c r="E22" s="300" t="str">
        <f t="array" ref="E22">IFERROR(INDEX('計測入力シート（ここのみ編集可）'!$AZ$17:$AZ$116,MATCH(A15&amp;B15,'計測入力シート（ここのみ編集可）'!$BO$17:$BO$116,0)),"")</f>
        <v>1:48:489</v>
      </c>
      <c r="F22" s="116"/>
      <c r="G22" s="301" t="s">
        <v>111</v>
      </c>
      <c r="H22" s="302" t="str">
        <f t="array" ref="H22">IFERROR(INDEX('計測入力シート（ここのみ編集可）'!$BB$17:$BB$116,MATCH(A15&amp;B15,'計測入力シート（ここのみ編集可）'!$BO$17:$BO$116,0)),"")</f>
        <v>-</v>
      </c>
    </row>
    <row r="23" ht="20.25" customHeight="1">
      <c r="D23" s="303" t="s">
        <v>112</v>
      </c>
      <c r="E23" s="304" t="str">
        <f t="array" ref="E23">IFERROR(INDEX('計測入力シート（ここのみ編集可）'!$BC$17:$BC$116,MATCH(A15&amp;B15,'計測入力シート（ここのみ編集可）'!$BO$17:$BO$116,0)),"")</f>
        <v>1:48:489</v>
      </c>
      <c r="F23" s="305"/>
      <c r="G23" s="306" t="s">
        <v>25</v>
      </c>
      <c r="H23" s="307">
        <f t="array" ref="H23">IFERROR(INDEX('計測入力シート（ここのみ編集可）'!$BD$17:$BD$116,MATCH(A15&amp;B15,'計測入力シート（ここのみ編集可）'!$BO$17:$BO$116,0)),"")</f>
        <v>1.111499293</v>
      </c>
    </row>
    <row r="24" ht="20.25" customHeight="1">
      <c r="D24" s="308"/>
    </row>
    <row r="25" ht="27.0" customHeight="1">
      <c r="A25" s="52" t="str">
        <f>A15</f>
        <v>D</v>
      </c>
      <c r="B25" s="52">
        <f>B15+1</f>
        <v>3</v>
      </c>
      <c r="D25" s="271" t="s">
        <v>80</v>
      </c>
      <c r="E25" s="272" t="s">
        <v>81</v>
      </c>
      <c r="F25" s="272" t="s">
        <v>82</v>
      </c>
      <c r="G25" s="273" t="s">
        <v>49</v>
      </c>
      <c r="H25" s="274"/>
    </row>
    <row r="26" ht="27.0" customHeight="1">
      <c r="A26" s="86"/>
      <c r="B26" s="86"/>
      <c r="D26" s="275">
        <f t="array" ref="D26">IFERROR(INDEX('計測入力シート（ここのみ編集可）'!$BN$17:$BN$116,MATCH(A25&amp;B25,'計測入力シート（ここのみ編集可）'!$BO$17:$BO$116,0)),"")</f>
        <v>3</v>
      </c>
      <c r="E26" s="276" t="str">
        <f t="array" ref="E26">IFERROR(INDEX('計測入力シート（ここのみ編集可）'!$BP$17:$BP$116,MATCH(A25&amp;B25,'計測入力シート（ここのみ編集可）'!$BO$17:$BO$116,0)),"")</f>
        <v>-</v>
      </c>
      <c r="F26" s="277" t="str">
        <f t="array" ref="F26">IFERROR(INDEX('計測入力シート（ここのみ編集可）'!$BR$17:$BR$116,MATCH(A25&amp;B25,'計測入力シート（ここのみ編集可）'!$BO$17:$BO$116,0)),"")</f>
        <v>-</v>
      </c>
      <c r="G26" s="278">
        <f t="array" ref="G26">IFERROR(INDEX('計測入力シート（ここのみ編集可）'!$BL$17:$BL$116,MATCH(A25&amp;B25,'計測入力シート（ここのみ編集可）'!$BO$17:$BO$116,0)),"")</f>
        <v>16</v>
      </c>
      <c r="H26" s="279"/>
    </row>
    <row r="27" ht="27.0" customHeight="1">
      <c r="D27" s="280" t="s">
        <v>2</v>
      </c>
      <c r="E27" s="281">
        <f t="array" ref="E27">IFERROR(INDEX('計測入力シート（ここのみ編集可）'!$C$17:$C$116,MATCH(A25&amp;B25,'計測入力シート（ここのみ編集可）'!$BO$17:$BO$116,0)),"")</f>
        <v>10</v>
      </c>
      <c r="F27" s="282" t="s">
        <v>17</v>
      </c>
      <c r="G27" s="283" t="str">
        <f t="array" ref="G27">IFERROR(INDEX('計測入力シート（ここのみ編集可）'!$D$17:$D$116,MATCH(A25&amp;B25,'計測入力シート（ここのみ編集可）'!$BO$17:$BO$116,0)),"")</f>
        <v>SIGE2878</v>
      </c>
      <c r="H27" s="284"/>
    </row>
    <row r="28" ht="27.0" customHeight="1">
      <c r="D28" s="285" t="s">
        <v>1</v>
      </c>
      <c r="E28" s="286" t="str">
        <f t="array" ref="E28">IFERROR(INDEX('計測入力シート（ここのみ編集可）'!$B$17:$B$116,MATCH(A25&amp;B25,'計測入力シート（ここのみ編集可）'!$BO$17:$BO$116,0)),"")</f>
        <v>D</v>
      </c>
      <c r="F28" s="287" t="s">
        <v>18</v>
      </c>
      <c r="G28" s="288" t="str">
        <f t="array" ref="G28">IFERROR(INDEX('計測入力シート（ここのみ編集可）'!$E$17:$E$116,MATCH(A25&amp;B25,'計測入力シート（ここのみ編集可）'!$BO$17:$BO$116,0)),"")</f>
        <v>CRM250R</v>
      </c>
      <c r="H28" s="289"/>
    </row>
    <row r="29" ht="24.75" customHeight="1">
      <c r="D29" s="290" t="s">
        <v>92</v>
      </c>
      <c r="E29" s="291" t="str">
        <f t="array" ref="E29">IFERROR(INDEX(#REF!,MATCH(A25&amp;B25,'計測入力シート（ここのみ編集可）'!$BO$17:$BO$116,0)),"")</f>
        <v/>
      </c>
      <c r="H29" s="232"/>
    </row>
    <row r="30" ht="52.5" customHeight="1">
      <c r="D30" s="292" t="s">
        <v>100</v>
      </c>
      <c r="E30" s="293" t="str">
        <f t="array" ref="E30">IFERROR(INDEX(#REF!,MATCH(A25&amp;B25,'計測入力シート（ここのみ編集可）'!$BO$17:$BO$116,0)),"")</f>
        <v/>
      </c>
      <c r="F30" s="95"/>
      <c r="G30" s="95"/>
      <c r="H30" s="96"/>
    </row>
    <row r="31" ht="20.25" customHeight="1">
      <c r="D31" s="294" t="s">
        <v>39</v>
      </c>
      <c r="E31" s="295" t="str">
        <f t="array" ref="E31">IFERROR(INDEX('計測入力シート（ここのみ編集可）'!$AW$17:$AW$116,MATCH(A25&amp;B25,'計測入力シート（ここのみ編集可）'!$BO$17:$BO$116,0)),"")</f>
        <v>1:50:854</v>
      </c>
      <c r="F31" s="296"/>
      <c r="G31" s="297" t="s">
        <v>110</v>
      </c>
      <c r="H31" s="298" t="str">
        <f t="array" ref="H31">IFERROR(INDEX('計測入力シート（ここのみ編集可）'!$AY$17:$AY$116,MATCH(A25&amp;B25,'計測入力シート（ここのみ編集可）'!$BO$17:$BO$116,0)),"")</f>
        <v>-</v>
      </c>
    </row>
    <row r="32" ht="20.25" customHeight="1">
      <c r="D32" s="299" t="s">
        <v>42</v>
      </c>
      <c r="E32" s="300" t="str">
        <f t="array" ref="E32">IFERROR(INDEX('計測入力シート（ここのみ編集可）'!$AZ$17:$AZ$116,MATCH(A25&amp;B25,'計測入力シート（ここのみ編集可）'!$BO$17:$BO$116,0)),"")</f>
        <v>1:48:771</v>
      </c>
      <c r="F32" s="116"/>
      <c r="G32" s="301" t="s">
        <v>111</v>
      </c>
      <c r="H32" s="302" t="str">
        <f t="array" ref="H32">IFERROR(INDEX('計測入力シート（ここのみ編集可）'!$BB$17:$BB$116,MATCH(A25&amp;B25,'計測入力シート（ここのみ編集可）'!$BO$17:$BO$116,0)),"")</f>
        <v>-</v>
      </c>
    </row>
    <row r="33" ht="20.25" customHeight="1">
      <c r="D33" s="303" t="s">
        <v>112</v>
      </c>
      <c r="E33" s="304" t="str">
        <f t="array" ref="E33">IFERROR(INDEX('計測入力シート（ここのみ編集可）'!$BC$17:$BC$116,MATCH(A25&amp;B25,'計測入力シート（ここのみ編集可）'!$BO$17:$BO$116,0)),"")</f>
        <v>1:48:771</v>
      </c>
      <c r="F33" s="305"/>
      <c r="G33" s="306" t="s">
        <v>25</v>
      </c>
      <c r="H33" s="307">
        <f t="array" ref="H33">IFERROR(INDEX('計測入力シート（ここのみ編集可）'!$BD$17:$BD$116,MATCH(A25&amp;B25,'計測入力シート（ここのみ編集可）'!$BO$17:$BO$116,0)),"")</f>
        <v>1.11438846</v>
      </c>
    </row>
    <row r="34" ht="20.25" customHeight="1">
      <c r="D34" s="308"/>
    </row>
    <row r="35" ht="27.0" customHeight="1">
      <c r="A35" s="52" t="str">
        <f>A25</f>
        <v>D</v>
      </c>
      <c r="B35" s="52">
        <f>B25+1</f>
        <v>4</v>
      </c>
      <c r="D35" s="271" t="s">
        <v>80</v>
      </c>
      <c r="E35" s="272" t="s">
        <v>81</v>
      </c>
      <c r="F35" s="272" t="s">
        <v>82</v>
      </c>
      <c r="G35" s="273" t="s">
        <v>49</v>
      </c>
      <c r="H35" s="274"/>
    </row>
    <row r="36" ht="27.0" customHeight="1">
      <c r="A36" s="86"/>
      <c r="B36" s="86"/>
      <c r="D36" s="275">
        <f t="array" ref="D36">IFERROR(INDEX('計測入力シート（ここのみ編集可）'!$BN$17:$BN$116,MATCH(A35&amp;B35,'計測入力シート（ここのみ編集可）'!$BO$17:$BO$116,0)),"")</f>
        <v>4</v>
      </c>
      <c r="E36" s="276" t="str">
        <f t="array" ref="E36">IFERROR(INDEX('計測入力シート（ここのみ編集可）'!$BP$17:$BP$116,MATCH(A35&amp;B35,'計測入力シート（ここのみ編集可）'!$BO$17:$BO$116,0)),"")</f>
        <v>-</v>
      </c>
      <c r="F36" s="277" t="str">
        <f t="array" ref="F36">IFERROR(INDEX('計測入力シート（ここのみ編集可）'!$BR$17:$BR$116,MATCH(A35&amp;B35,'計測入力シート（ここのみ編集可）'!$BO$17:$BO$116,0)),"")</f>
        <v>-</v>
      </c>
      <c r="G36" s="278">
        <f t="array" ref="G36">IFERROR(INDEX('計測入力シート（ここのみ編集可）'!$BL$17:$BL$116,MATCH(A35&amp;B35,'計測入力シート（ここのみ編集可）'!$BO$17:$BO$116,0)),"")</f>
        <v>21</v>
      </c>
      <c r="H36" s="279"/>
    </row>
    <row r="37" ht="27.0" customHeight="1">
      <c r="D37" s="280" t="s">
        <v>2</v>
      </c>
      <c r="E37" s="281">
        <f t="array" ref="E37">IFERROR(INDEX('計測入力シート（ここのみ編集可）'!$C$17:$C$116,MATCH(A35&amp;B35,'計測入力シート（ここのみ編集可）'!$BO$17:$BO$116,0)),"")</f>
        <v>5</v>
      </c>
      <c r="F37" s="282" t="s">
        <v>17</v>
      </c>
      <c r="G37" s="283" t="str">
        <f t="array" ref="G37">IFERROR(INDEX('計測入力シート（ここのみ編集可）'!$D$17:$D$116,MATCH(A35&amp;B35,'計測入力シート（ここのみ編集可）'!$BO$17:$BO$116,0)),"")</f>
        <v>ホッシャ</v>
      </c>
      <c r="H37" s="284"/>
    </row>
    <row r="38" ht="27.0" customHeight="1">
      <c r="D38" s="285" t="s">
        <v>1</v>
      </c>
      <c r="E38" s="286" t="str">
        <f t="array" ref="E38">IFERROR(INDEX('計測入力シート（ここのみ編集可）'!$B$17:$B$116,MATCH(A35&amp;B35,'計測入力シート（ここのみ編集可）'!$BO$17:$BO$116,0)),"")</f>
        <v>D</v>
      </c>
      <c r="F38" s="287" t="s">
        <v>18</v>
      </c>
      <c r="G38" s="288" t="str">
        <f t="array" ref="G38">IFERROR(INDEX('計測入力シート（ここのみ編集可）'!$E$17:$E$116,MATCH(A35&amp;B35,'計測入力シート（ここのみ編集可）'!$BO$17:$BO$116,0)),"")</f>
        <v>VTR</v>
      </c>
      <c r="H38" s="289"/>
    </row>
    <row r="39" ht="24.75" customHeight="1">
      <c r="D39" s="290" t="s">
        <v>92</v>
      </c>
      <c r="E39" s="291" t="str">
        <f t="array" ref="E39">IFERROR(INDEX(#REF!,MATCH(A35&amp;B35,'計測入力シート（ここのみ編集可）'!$BO$17:$BO$116,0)),"")</f>
        <v/>
      </c>
      <c r="H39" s="232"/>
    </row>
    <row r="40" ht="52.5" customHeight="1">
      <c r="D40" s="292" t="s">
        <v>100</v>
      </c>
      <c r="E40" s="293" t="str">
        <f t="array" ref="E40">IFERROR(INDEX(#REF!,MATCH(A35&amp;B35,'計測入力シート（ここのみ編集可）'!$BO$17:$BO$116,0)),"")</f>
        <v/>
      </c>
      <c r="F40" s="95"/>
      <c r="G40" s="95"/>
      <c r="H40" s="96"/>
    </row>
    <row r="41" ht="20.25" customHeight="1">
      <c r="D41" s="294" t="s">
        <v>39</v>
      </c>
      <c r="E41" s="295" t="str">
        <f t="array" ref="E41">IFERROR(INDEX('計測入力シート（ここのみ編集可）'!$AW$17:$AW$116,MATCH(A35&amp;B35,'計測入力シート（ここのみ編集可）'!$BO$17:$BO$116,0)),"")</f>
        <v>1:54:609</v>
      </c>
      <c r="F41" s="296"/>
      <c r="G41" s="297" t="s">
        <v>110</v>
      </c>
      <c r="H41" s="298" t="str">
        <f t="array" ref="H41">IFERROR(INDEX('計測入力シート（ここのみ編集可）'!$AY$17:$AY$116,MATCH(A35&amp;B35,'計測入力シート（ここのみ編集可）'!$BO$17:$BO$116,0)),"")</f>
        <v>-</v>
      </c>
    </row>
    <row r="42" ht="20.25" customHeight="1">
      <c r="D42" s="299" t="s">
        <v>42</v>
      </c>
      <c r="E42" s="300" t="str">
        <f t="array" ref="E42">IFERROR(INDEX('計測入力シート（ここのみ編集可）'!$AZ$17:$AZ$116,MATCH(A35&amp;B35,'計測入力シート（ここのみ編集可）'!$BO$17:$BO$116,0)),"")</f>
        <v>1:50:535</v>
      </c>
      <c r="F42" s="116"/>
      <c r="G42" s="301" t="s">
        <v>111</v>
      </c>
      <c r="H42" s="302" t="str">
        <f t="array" ref="H42">IFERROR(INDEX('計測入力シート（ここのみ編集可）'!$BB$17:$BB$116,MATCH(A35&amp;B35,'計測入力シート（ここのみ編集可）'!$BO$17:$BO$116,0)),"")</f>
        <v>-</v>
      </c>
    </row>
    <row r="43" ht="20.25" customHeight="1">
      <c r="D43" s="303" t="s">
        <v>112</v>
      </c>
      <c r="E43" s="304" t="str">
        <f t="array" ref="E43">IFERROR(INDEX('計測入力シート（ここのみ編集可）'!$BC$17:$BC$116,MATCH(A35&amp;B35,'計測入力シート（ここのみ編集可）'!$BO$17:$BO$116,0)),"")</f>
        <v>1:50:535</v>
      </c>
      <c r="F43" s="305"/>
      <c r="G43" s="306" t="s">
        <v>25</v>
      </c>
      <c r="H43" s="307">
        <f t="array" ref="H43">IFERROR(INDEX('計測入力シート（ここのみ編集可）'!$BD$17:$BD$116,MATCH(A35&amp;B35,'計測入力シート（ここのみ編集可）'!$BO$17:$BO$116,0)),"")</f>
        <v>1.132461119</v>
      </c>
    </row>
    <row r="44" ht="20.25" customHeight="1">
      <c r="D44" s="308"/>
    </row>
    <row r="45" ht="27.0" customHeight="1">
      <c r="A45" s="52" t="str">
        <f>A35</f>
        <v>D</v>
      </c>
      <c r="B45" s="52">
        <f>B35+1</f>
        <v>5</v>
      </c>
      <c r="D45" s="271" t="s">
        <v>80</v>
      </c>
      <c r="E45" s="272" t="s">
        <v>81</v>
      </c>
      <c r="F45" s="272" t="s">
        <v>82</v>
      </c>
      <c r="G45" s="273" t="s">
        <v>49</v>
      </c>
      <c r="H45" s="274"/>
    </row>
    <row r="46" ht="27.0" customHeight="1">
      <c r="A46" s="86"/>
      <c r="B46" s="86"/>
      <c r="D46" s="275">
        <f t="array" ref="D46">IFERROR(INDEX('計測入力シート（ここのみ編集可）'!$BN$17:$BN$116,MATCH(A45&amp;B45,'計測入力シート（ここのみ編集可）'!$BO$17:$BO$116,0)),"")</f>
        <v>5</v>
      </c>
      <c r="E46" s="276" t="str">
        <f t="array" ref="E46">IFERROR(INDEX('計測入力シート（ここのみ編集可）'!$BP$17:$BP$116,MATCH(A45&amp;B45,'計測入力シート（ここのみ編集可）'!$BO$17:$BO$116,0)),"")</f>
        <v>-</v>
      </c>
      <c r="F46" s="277" t="str">
        <f t="array" ref="F46">IFERROR(INDEX('計測入力シート（ここのみ編集可）'!$BR$17:$BR$116,MATCH(A45&amp;B45,'計測入力シート（ここのみ編集可）'!$BO$17:$BO$116,0)),"")</f>
        <v>-</v>
      </c>
      <c r="G46" s="278">
        <f t="array" ref="G46">IFERROR(INDEX('計測入力シート（ここのみ編集可）'!$BL$17:$BL$116,MATCH(A45&amp;B45,'計測入力シート（ここのみ編集可）'!$BO$17:$BO$116,0)),"")</f>
        <v>22</v>
      </c>
      <c r="H46" s="279"/>
    </row>
    <row r="47" ht="27.0" customHeight="1">
      <c r="D47" s="280" t="s">
        <v>2</v>
      </c>
      <c r="E47" s="281">
        <f t="array" ref="E47">IFERROR(INDEX('計測入力シート（ここのみ編集可）'!$C$17:$C$116,MATCH(A45&amp;B45,'計測入力シート（ここのみ編集可）'!$BO$17:$BO$116,0)),"")</f>
        <v>9</v>
      </c>
      <c r="F47" s="282" t="s">
        <v>17</v>
      </c>
      <c r="G47" s="283" t="str">
        <f t="array" ref="G47">IFERROR(INDEX('計測入力シート（ここのみ編集可）'!$D$17:$D$116,MATCH(A45&amp;B45,'計測入力シート（ここのみ編集可）'!$BO$17:$BO$116,0)),"")</f>
        <v>ひーちゃん</v>
      </c>
      <c r="H47" s="284"/>
    </row>
    <row r="48" ht="27.0" customHeight="1">
      <c r="D48" s="285" t="s">
        <v>1</v>
      </c>
      <c r="E48" s="286" t="str">
        <f t="array" ref="E48">IFERROR(INDEX('計測入力シート（ここのみ編集可）'!$B$17:$B$116,MATCH(A45&amp;B45,'計測入力シート（ここのみ編集可）'!$BO$17:$BO$116,0)),"")</f>
        <v>D</v>
      </c>
      <c r="F48" s="287" t="s">
        <v>18</v>
      </c>
      <c r="G48" s="288" t="str">
        <f t="array" ref="G48">IFERROR(INDEX('計測入力シート（ここのみ編集可）'!$E$17:$E$116,MATCH(A45&amp;B45,'計測入力シート（ここのみ編集可）'!$BO$17:$BO$116,0)),"")</f>
        <v>NSR50改</v>
      </c>
      <c r="H48" s="289"/>
    </row>
    <row r="49" ht="24.75" customHeight="1">
      <c r="D49" s="290" t="s">
        <v>92</v>
      </c>
      <c r="E49" s="291" t="str">
        <f t="array" ref="E49">IFERROR(INDEX(#REF!,MATCH(A45&amp;B45,'計測入力シート（ここのみ編集可）'!$BO$17:$BO$116,0)),"")</f>
        <v/>
      </c>
      <c r="H49" s="232"/>
    </row>
    <row r="50" ht="52.5" customHeight="1">
      <c r="D50" s="292" t="s">
        <v>100</v>
      </c>
      <c r="E50" s="293" t="str">
        <f t="array" ref="E50">IFERROR(INDEX(#REF!,MATCH(A45&amp;B45,'計測入力シート（ここのみ編集可）'!$BO$17:$BO$116,0)),"")</f>
        <v/>
      </c>
      <c r="F50" s="95"/>
      <c r="G50" s="95"/>
      <c r="H50" s="96"/>
    </row>
    <row r="51" ht="20.25" customHeight="1">
      <c r="D51" s="294" t="s">
        <v>39</v>
      </c>
      <c r="E51" s="295" t="str">
        <f t="array" ref="E51">IFERROR(INDEX('計測入力シート（ここのみ編集可）'!$AW$17:$AW$116,MATCH(A45&amp;B45,'計測入力シート（ここのみ編集可）'!$BO$17:$BO$116,0)),"")</f>
        <v>9:99:999</v>
      </c>
      <c r="F51" s="296"/>
      <c r="G51" s="297" t="s">
        <v>110</v>
      </c>
      <c r="H51" s="298" t="str">
        <f t="array" ref="H51">IFERROR(INDEX('計測入力シート（ここのみ編集可）'!$AY$17:$AY$116,MATCH(A45&amp;B45,'計測入力シート（ここのみ編集可）'!$BO$17:$BO$116,0)),"")</f>
        <v>MC</v>
      </c>
    </row>
    <row r="52" ht="20.25" customHeight="1">
      <c r="D52" s="299" t="s">
        <v>42</v>
      </c>
      <c r="E52" s="300" t="str">
        <f t="array" ref="E52">IFERROR(INDEX('計測入力シート（ここのみ編集可）'!$AZ$17:$AZ$116,MATCH(A45&amp;B45,'計測入力シート（ここのみ編集可）'!$BO$17:$BO$116,0)),"")</f>
        <v>1:50:783</v>
      </c>
      <c r="F52" s="116"/>
      <c r="G52" s="301" t="s">
        <v>111</v>
      </c>
      <c r="H52" s="302" t="str">
        <f t="array" ref="H52">IFERROR(INDEX('計測入力シート（ここのみ編集可）'!$BB$17:$BB$116,MATCH(A45&amp;B45,'計測入力シート（ここのみ編集可）'!$BO$17:$BO$116,0)),"")</f>
        <v>-</v>
      </c>
    </row>
    <row r="53" ht="20.25" customHeight="1">
      <c r="D53" s="303" t="s">
        <v>112</v>
      </c>
      <c r="E53" s="304" t="str">
        <f t="array" ref="E53">IFERROR(INDEX('計測入力シート（ここのみ編集可）'!$BC$17:$BC$116,MATCH(A45&amp;B45,'計測入力シート（ここのみ編集可）'!$BO$17:$BO$116,0)),"")</f>
        <v>1:50:783</v>
      </c>
      <c r="F53" s="305"/>
      <c r="G53" s="306" t="s">
        <v>25</v>
      </c>
      <c r="H53" s="307">
        <f t="array" ref="H53">IFERROR(INDEX('計測入力シート（ここのみ編集可）'!$BD$17:$BD$116,MATCH(A45&amp;B45,'計測入力シート（ここのみ編集可）'!$BO$17:$BO$116,0)),"")</f>
        <v>1.135001947</v>
      </c>
    </row>
    <row r="54" ht="20.25" customHeight="1">
      <c r="D54" s="308"/>
    </row>
    <row r="55" ht="27.0" customHeight="1">
      <c r="A55" s="52" t="str">
        <f>A45</f>
        <v>D</v>
      </c>
      <c r="B55" s="52">
        <f>B45+1</f>
        <v>6</v>
      </c>
      <c r="D55" s="271" t="s">
        <v>80</v>
      </c>
      <c r="E55" s="272" t="s">
        <v>81</v>
      </c>
      <c r="F55" s="272" t="s">
        <v>82</v>
      </c>
      <c r="G55" s="273" t="s">
        <v>49</v>
      </c>
      <c r="H55" s="274"/>
    </row>
    <row r="56" ht="27.0" customHeight="1">
      <c r="A56" s="86"/>
      <c r="B56" s="86"/>
      <c r="D56" s="275">
        <f t="array" ref="D56">IFERROR(INDEX('計測入力シート（ここのみ編集可）'!$BN$17:$BN$116,MATCH(A55&amp;B55,'計測入力シート（ここのみ編集可）'!$BO$17:$BO$116,0)),"")</f>
        <v>6</v>
      </c>
      <c r="E56" s="276" t="str">
        <f t="array" ref="E56">IFERROR(INDEX('計測入力シート（ここのみ編集可）'!$BP$17:$BP$116,MATCH(A55&amp;B55,'計測入力シート（ここのみ編集可）'!$BO$17:$BO$116,0)),"")</f>
        <v>-</v>
      </c>
      <c r="F56" s="277" t="str">
        <f t="array" ref="F56">IFERROR(INDEX('計測入力シート（ここのみ編集可）'!$BR$17:$BR$116,MATCH(A55&amp;B55,'計測入力シート（ここのみ編集可）'!$BO$17:$BO$116,0)),"")</f>
        <v>-</v>
      </c>
      <c r="G56" s="278">
        <f t="array" ref="G56">IFERROR(INDEX('計測入力シート（ここのみ編集可）'!$BL$17:$BL$116,MATCH(A55&amp;B55,'計測入力シート（ここのみ編集可）'!$BO$17:$BO$116,0)),"")</f>
        <v>24</v>
      </c>
      <c r="H56" s="279"/>
    </row>
    <row r="57" ht="27.0" customHeight="1">
      <c r="D57" s="280" t="s">
        <v>2</v>
      </c>
      <c r="E57" s="281">
        <f t="array" ref="E57">IFERROR(INDEX('計測入力シート（ここのみ編集可）'!$C$17:$C$116,MATCH(A55&amp;B55,'計測入力シート（ここのみ編集可）'!$BO$17:$BO$116,0)),"")</f>
        <v>12</v>
      </c>
      <c r="F57" s="282" t="s">
        <v>17</v>
      </c>
      <c r="G57" s="283" t="str">
        <f t="array" ref="G57">IFERROR(INDEX('計測入力シート（ここのみ編集可）'!$D$17:$D$116,MATCH(A55&amp;B55,'計測入力シート（ここのみ編集可）'!$BO$17:$BO$116,0)),"")</f>
        <v>ぶんちゃん</v>
      </c>
      <c r="H57" s="284"/>
    </row>
    <row r="58" ht="27.0" customHeight="1">
      <c r="D58" s="285" t="s">
        <v>1</v>
      </c>
      <c r="E58" s="286" t="str">
        <f t="array" ref="E58">IFERROR(INDEX('計測入力シート（ここのみ編集可）'!$B$17:$B$116,MATCH(A55&amp;B55,'計測入力シート（ここのみ編集可）'!$BO$17:$BO$116,0)),"")</f>
        <v>D</v>
      </c>
      <c r="F58" s="287" t="s">
        <v>18</v>
      </c>
      <c r="G58" s="288" t="str">
        <f t="array" ref="G58">IFERROR(INDEX('計測入力シート（ここのみ編集可）'!$E$17:$E$116,MATCH(A55&amp;B55,'計測入力シート（ここのみ編集可）'!$BO$17:$BO$116,0)),"")</f>
        <v>GSX-R1000</v>
      </c>
      <c r="H58" s="289"/>
    </row>
    <row r="59" ht="24.75" customHeight="1">
      <c r="D59" s="290" t="s">
        <v>92</v>
      </c>
      <c r="E59" s="291" t="str">
        <f t="array" ref="E59">IFERROR(INDEX(#REF!,MATCH(A55&amp;B55,'計測入力シート（ここのみ編集可）'!$BO$17:$BO$116,0)),"")</f>
        <v/>
      </c>
      <c r="H59" s="232"/>
    </row>
    <row r="60" ht="52.5" customHeight="1">
      <c r="D60" s="292" t="s">
        <v>100</v>
      </c>
      <c r="E60" s="293" t="str">
        <f t="array" ref="E60">IFERROR(INDEX(#REF!,MATCH(A55&amp;B55,'計測入力シート（ここのみ編集可）'!$BO$17:$BO$116,0)),"")</f>
        <v/>
      </c>
      <c r="F60" s="95"/>
      <c r="G60" s="95"/>
      <c r="H60" s="96"/>
    </row>
    <row r="61" ht="20.25" customHeight="1">
      <c r="D61" s="294" t="s">
        <v>39</v>
      </c>
      <c r="E61" s="295" t="str">
        <f t="array" ref="E61">IFERROR(INDEX('計測入力シート（ここのみ編集可）'!$AW$17:$AW$116,MATCH(A55&amp;B55,'計測入力シート（ここのみ編集可）'!$BO$17:$BO$116,0)),"")</f>
        <v>9:99:999</v>
      </c>
      <c r="F61" s="296"/>
      <c r="G61" s="297" t="s">
        <v>110</v>
      </c>
      <c r="H61" s="298" t="str">
        <f t="array" ref="H61">IFERROR(INDEX('計測入力シート（ここのみ編集可）'!$AY$17:$AY$116,MATCH(A55&amp;B55,'計測入力シート（ここのみ編集可）'!$BO$17:$BO$116,0)),"")</f>
        <v>MC</v>
      </c>
    </row>
    <row r="62" ht="20.25" customHeight="1">
      <c r="D62" s="299" t="s">
        <v>42</v>
      </c>
      <c r="E62" s="300" t="str">
        <f t="array" ref="E62">IFERROR(INDEX('計測入力シート（ここのみ編集可）'!$AZ$17:$AZ$116,MATCH(A55&amp;B55,'計測入力シート（ここのみ編集可）'!$BO$17:$BO$116,0)),"")</f>
        <v>1:50:255</v>
      </c>
      <c r="F62" s="116"/>
      <c r="G62" s="301" t="s">
        <v>111</v>
      </c>
      <c r="H62" s="302">
        <f t="array" ref="H62">IFERROR(INDEX('計測入力シート（ここのみ編集可）'!$BB$17:$BB$116,MATCH(A55&amp;B55,'計測入力シート（ここのみ編集可）'!$BO$17:$BO$116,0)),"")</f>
        <v>1</v>
      </c>
    </row>
    <row r="63" ht="20.25" customHeight="1">
      <c r="D63" s="303" t="s">
        <v>112</v>
      </c>
      <c r="E63" s="304" t="str">
        <f t="array" ref="E63">IFERROR(INDEX('計測入力シート（ここのみ編集可）'!$BC$17:$BC$116,MATCH(A55&amp;B55,'計測入力シート（ここのみ編集可）'!$BO$17:$BO$116,0)),"")</f>
        <v>1:51:255</v>
      </c>
      <c r="F63" s="305"/>
      <c r="G63" s="306" t="s">
        <v>25</v>
      </c>
      <c r="H63" s="307">
        <f t="array" ref="H63">IFERROR(INDEX('計測入力シート（ここのみ編集可）'!$BD$17:$BD$116,MATCH(A55&amp;B55,'計測入力シート（ここのみ編集可）'!$BO$17:$BO$116,0)),"")</f>
        <v>1.139837715</v>
      </c>
    </row>
    <row r="64" ht="20.25" customHeight="1">
      <c r="D64" s="308"/>
    </row>
    <row r="65" ht="27.0" customHeight="1">
      <c r="A65" s="52" t="str">
        <f>A55</f>
        <v>D</v>
      </c>
      <c r="B65" s="52">
        <f>B55+1</f>
        <v>7</v>
      </c>
      <c r="D65" s="271" t="s">
        <v>80</v>
      </c>
      <c r="E65" s="272" t="s">
        <v>81</v>
      </c>
      <c r="F65" s="272" t="s">
        <v>82</v>
      </c>
      <c r="G65" s="273" t="s">
        <v>49</v>
      </c>
      <c r="H65" s="274"/>
    </row>
    <row r="66" ht="27.0" customHeight="1">
      <c r="A66" s="86"/>
      <c r="B66" s="86"/>
      <c r="D66" s="275">
        <f t="array" ref="D66">IFERROR(INDEX('計測入力シート（ここのみ編集可）'!$BN$17:$BN$116,MATCH(A65&amp;B65,'計測入力シート（ここのみ編集可）'!$BO$17:$BO$116,0)),"")</f>
        <v>7</v>
      </c>
      <c r="E66" s="276" t="str">
        <f t="array" ref="E66">IFERROR(INDEX('計測入力シート（ここのみ編集可）'!$BP$17:$BP$116,MATCH(A65&amp;B65,'計測入力シート（ここのみ編集可）'!$BO$17:$BO$116,0)),"")</f>
        <v>-</v>
      </c>
      <c r="F66" s="277" t="str">
        <f t="array" ref="F66">IFERROR(INDEX('計測入力シート（ここのみ編集可）'!$BR$17:$BR$116,MATCH(A65&amp;B65,'計測入力シート（ここのみ編集可）'!$BO$17:$BO$116,0)),"")</f>
        <v>-</v>
      </c>
      <c r="G66" s="278">
        <f t="array" ref="G66">IFERROR(INDEX('計測入力シート（ここのみ編集可）'!$BL$17:$BL$116,MATCH(A65&amp;B65,'計測入力シート（ここのみ編集可）'!$BO$17:$BO$116,0)),"")</f>
        <v>26</v>
      </c>
      <c r="H66" s="279"/>
    </row>
    <row r="67" ht="27.0" customHeight="1">
      <c r="D67" s="280" t="s">
        <v>2</v>
      </c>
      <c r="E67" s="281">
        <f t="array" ref="E67">IFERROR(INDEX('計測入力シート（ここのみ編集可）'!$C$17:$C$116,MATCH(A65&amp;B65,'計測入力シート（ここのみ編集可）'!$BO$17:$BO$116,0)),"")</f>
        <v>6</v>
      </c>
      <c r="F67" s="282" t="s">
        <v>17</v>
      </c>
      <c r="G67" s="283" t="str">
        <f t="array" ref="G67">IFERROR(INDEX('計測入力シート（ここのみ編集可）'!$D$17:$D$116,MATCH(A65&amp;B65,'計測入力シート（ここのみ編集可）'!$BO$17:$BO$116,0)),"")</f>
        <v>ひさぽん</v>
      </c>
      <c r="H67" s="284"/>
    </row>
    <row r="68" ht="27.0" customHeight="1">
      <c r="D68" s="285" t="s">
        <v>1</v>
      </c>
      <c r="E68" s="286" t="str">
        <f t="array" ref="E68">IFERROR(INDEX('計測入力シート（ここのみ編集可）'!$B$17:$B$116,MATCH(A65&amp;B65,'計測入力シート（ここのみ編集可）'!$BO$17:$BO$116,0)),"")</f>
        <v>D</v>
      </c>
      <c r="F68" s="287" t="s">
        <v>18</v>
      </c>
      <c r="G68" s="288" t="str">
        <f t="array" ref="G68">IFERROR(INDEX('計測入力シート（ここのみ編集可）'!$E$17:$E$116,MATCH(A65&amp;B65,'計測入力シート（ここのみ編集可）'!$BO$17:$BO$116,0)),"")</f>
        <v>NSR50改</v>
      </c>
      <c r="H68" s="289"/>
    </row>
    <row r="69" ht="24.75" customHeight="1">
      <c r="D69" s="290" t="s">
        <v>92</v>
      </c>
      <c r="E69" s="291" t="str">
        <f t="array" ref="E69">IFERROR(INDEX(#REF!,MATCH(A65&amp;B65,'計測入力シート（ここのみ編集可）'!$BO$17:$BO$116,0)),"")</f>
        <v/>
      </c>
      <c r="H69" s="232"/>
    </row>
    <row r="70" ht="52.5" customHeight="1">
      <c r="D70" s="292" t="s">
        <v>100</v>
      </c>
      <c r="E70" s="293" t="str">
        <f t="array" ref="E70">IFERROR(INDEX(#REF!,MATCH(A65&amp;B65,'計測入力シート（ここのみ編集可）'!$BO$17:$BO$116,0)),"")</f>
        <v/>
      </c>
      <c r="F70" s="95"/>
      <c r="G70" s="95"/>
      <c r="H70" s="96"/>
    </row>
    <row r="71" ht="20.25" customHeight="1">
      <c r="D71" s="294" t="s">
        <v>39</v>
      </c>
      <c r="E71" s="295" t="str">
        <f t="array" ref="E71">IFERROR(INDEX('計測入力シート（ここのみ編集可）'!$AW$17:$AW$116,MATCH(A65&amp;B65,'計測入力シート（ここのみ編集可）'!$BO$17:$BO$116,0)),"")</f>
        <v>9:99:999</v>
      </c>
      <c r="F71" s="296"/>
      <c r="G71" s="297" t="s">
        <v>110</v>
      </c>
      <c r="H71" s="298" t="str">
        <f t="array" ref="H71">IFERROR(INDEX('計測入力シート（ここのみ編集可）'!$AY$17:$AY$116,MATCH(A65&amp;B65,'計測入力シート（ここのみ編集可）'!$BO$17:$BO$116,0)),"")</f>
        <v>MC</v>
      </c>
    </row>
    <row r="72" ht="20.25" customHeight="1">
      <c r="D72" s="299" t="s">
        <v>42</v>
      </c>
      <c r="E72" s="300" t="str">
        <f t="array" ref="E72">IFERROR(INDEX('計測入力シート（ここのみ編集可）'!$AZ$17:$AZ$116,MATCH(A65&amp;B65,'計測入力シート（ここのみ編集可）'!$BO$17:$BO$116,0)),"")</f>
        <v>1:52:505</v>
      </c>
      <c r="F72" s="116"/>
      <c r="G72" s="301" t="s">
        <v>111</v>
      </c>
      <c r="H72" s="302" t="str">
        <f t="array" ref="H72">IFERROR(INDEX('計測入力シート（ここのみ編集可）'!$BB$17:$BB$116,MATCH(A65&amp;B65,'計測入力シート（ここのみ編集可）'!$BO$17:$BO$116,0)),"")</f>
        <v>-</v>
      </c>
    </row>
    <row r="73" ht="20.25" customHeight="1">
      <c r="D73" s="303" t="s">
        <v>112</v>
      </c>
      <c r="E73" s="304" t="str">
        <f t="array" ref="E73">IFERROR(INDEX('計測入力シート（ここのみ編集可）'!$BC$17:$BC$116,MATCH(A65&amp;B65,'計測入力シート（ここのみ編集可）'!$BO$17:$BO$116,0)),"")</f>
        <v>1:52:505</v>
      </c>
      <c r="F73" s="305"/>
      <c r="G73" s="306" t="s">
        <v>25</v>
      </c>
      <c r="H73" s="307">
        <f t="array" ref="H73">IFERROR(INDEX('計測入力シート（ここのみ編集可）'!$BD$17:$BD$116,MATCH(A65&amp;B65,'計測入力シート（ここのみ編集可）'!$BO$17:$BO$116,0)),"")</f>
        <v>1.152644305</v>
      </c>
    </row>
    <row r="74" ht="20.25" customHeight="1">
      <c r="D74" s="308"/>
    </row>
    <row r="75" ht="27.0" customHeight="1">
      <c r="A75" s="52" t="str">
        <f>A65</f>
        <v>D</v>
      </c>
      <c r="B75" s="52">
        <f>B65+1</f>
        <v>8</v>
      </c>
      <c r="D75" s="271" t="s">
        <v>80</v>
      </c>
      <c r="E75" s="272" t="s">
        <v>81</v>
      </c>
      <c r="F75" s="272" t="s">
        <v>82</v>
      </c>
      <c r="G75" s="273" t="s">
        <v>49</v>
      </c>
      <c r="H75" s="274"/>
    </row>
    <row r="76" ht="27.0" customHeight="1">
      <c r="A76" s="86"/>
      <c r="B76" s="86"/>
      <c r="D76" s="275">
        <f t="array" ref="D76">IFERROR(INDEX('計測入力シート（ここのみ編集可）'!$BN$17:$BN$116,MATCH(A75&amp;B75,'計測入力シート（ここのみ編集可）'!$BO$17:$BO$116,0)),"")</f>
        <v>8</v>
      </c>
      <c r="E76" s="276" t="str">
        <f t="array" ref="E76">IFERROR(INDEX('計測入力シート（ここのみ編集可）'!$BP$17:$BP$116,MATCH(A75&amp;B75,'計測入力シート（ここのみ編集可）'!$BO$17:$BO$116,0)),"")</f>
        <v>-</v>
      </c>
      <c r="F76" s="277" t="str">
        <f t="array" ref="F76">IFERROR(INDEX('計測入力シート（ここのみ編集可）'!$BR$17:$BR$116,MATCH(A75&amp;B75,'計測入力シート（ここのみ編集可）'!$BO$17:$BO$116,0)),"")</f>
        <v>-</v>
      </c>
      <c r="G76" s="278">
        <f t="array" ref="G76">IFERROR(INDEX('計測入力シート（ここのみ編集可）'!$BL$17:$BL$116,MATCH(A75&amp;B75,'計測入力シート（ここのみ編集可）'!$BO$17:$BO$116,0)),"")</f>
        <v>28</v>
      </c>
      <c r="H76" s="279"/>
    </row>
    <row r="77" ht="27.0" customHeight="1">
      <c r="D77" s="280" t="s">
        <v>2</v>
      </c>
      <c r="E77" s="281">
        <f t="array" ref="E77">IFERROR(INDEX('計測入力シート（ここのみ編集可）'!$C$17:$C$116,MATCH(A75&amp;B75,'計測入力シート（ここのみ編集可）'!$BO$17:$BO$116,0)),"")</f>
        <v>2</v>
      </c>
      <c r="F77" s="282" t="s">
        <v>17</v>
      </c>
      <c r="G77" s="283" t="str">
        <f t="array" ref="G77">IFERROR(INDEX('計測入力シート（ここのみ編集可）'!$D$17:$D$116,MATCH(A75&amp;B75,'計測入力シート（ここのみ編集可）'!$BO$17:$BO$116,0)),"")</f>
        <v>ちゃっぴー</v>
      </c>
      <c r="H77" s="284"/>
    </row>
    <row r="78" ht="27.0" customHeight="1">
      <c r="D78" s="285" t="s">
        <v>1</v>
      </c>
      <c r="E78" s="286" t="str">
        <f t="array" ref="E78">IFERROR(INDEX('計測入力シート（ここのみ編集可）'!$B$17:$B$116,MATCH(A75&amp;B75,'計測入力シート（ここのみ編集可）'!$BO$17:$BO$116,0)),"")</f>
        <v>D</v>
      </c>
      <c r="F78" s="287" t="s">
        <v>18</v>
      </c>
      <c r="G78" s="288" t="str">
        <f t="array" ref="G78">IFERROR(INDEX('計測入力シート（ここのみ編集可）'!$E$17:$E$116,MATCH(A75&amp;B75,'計測入力シート（ここのみ編集可）'!$BO$17:$BO$116,0)),"")</f>
        <v>CB250R</v>
      </c>
      <c r="H78" s="289"/>
    </row>
    <row r="79" ht="24.75" customHeight="1">
      <c r="D79" s="290" t="s">
        <v>92</v>
      </c>
      <c r="E79" s="291" t="str">
        <f t="array" ref="E79">IFERROR(INDEX(#REF!,MATCH(A75&amp;B75,'計測入力シート（ここのみ編集可）'!$BO$17:$BO$116,0)),"")</f>
        <v/>
      </c>
      <c r="H79" s="232"/>
    </row>
    <row r="80" ht="52.5" customHeight="1">
      <c r="D80" s="292" t="s">
        <v>100</v>
      </c>
      <c r="E80" s="293" t="str">
        <f t="array" ref="E80">IFERROR(INDEX(#REF!,MATCH(A75&amp;B75,'計測入力シート（ここのみ編集可）'!$BO$17:$BO$116,0)),"")</f>
        <v/>
      </c>
      <c r="F80" s="95"/>
      <c r="G80" s="95"/>
      <c r="H80" s="96"/>
    </row>
    <row r="81" ht="20.25" customHeight="1">
      <c r="D81" s="294" t="s">
        <v>39</v>
      </c>
      <c r="E81" s="295" t="str">
        <f t="array" ref="E81">IFERROR(INDEX('計測入力シート（ここのみ編集可）'!$AW$17:$AW$116,MATCH(A75&amp;B75,'計測入力シート（ここのみ編集可）'!$BO$17:$BO$116,0)),"")</f>
        <v>1:54:429</v>
      </c>
      <c r="F81" s="296"/>
      <c r="G81" s="297" t="s">
        <v>110</v>
      </c>
      <c r="H81" s="298" t="str">
        <f t="array" ref="H81">IFERROR(INDEX('計測入力シート（ここのみ編集可）'!$AY$17:$AY$116,MATCH(A75&amp;B75,'計測入力シート（ここのみ編集可）'!$BO$17:$BO$116,0)),"")</f>
        <v>-</v>
      </c>
    </row>
    <row r="82" ht="20.25" customHeight="1">
      <c r="D82" s="299" t="s">
        <v>42</v>
      </c>
      <c r="E82" s="300" t="str">
        <f t="array" ref="E82">IFERROR(INDEX('計測入力シート（ここのみ編集可）'!$AZ$17:$AZ$116,MATCH(A75&amp;B75,'計測入力シート（ここのみ編集可）'!$BO$17:$BO$116,0)),"")</f>
        <v>1:53:304</v>
      </c>
      <c r="F82" s="116"/>
      <c r="G82" s="301" t="s">
        <v>111</v>
      </c>
      <c r="H82" s="302" t="str">
        <f t="array" ref="H82">IFERROR(INDEX('計測入力シート（ここのみ編集可）'!$BB$17:$BB$116,MATCH(A75&amp;B75,'計測入力シート（ここのみ編集可）'!$BO$17:$BO$116,0)),"")</f>
        <v>-</v>
      </c>
    </row>
    <row r="83" ht="20.25" customHeight="1">
      <c r="D83" s="303" t="s">
        <v>112</v>
      </c>
      <c r="E83" s="304" t="str">
        <f t="array" ref="E83">IFERROR(INDEX('計測入力シート（ここのみ編集可）'!$BC$17:$BC$116,MATCH(A75&amp;B75,'計測入力シート（ここのみ編集可）'!$BO$17:$BO$116,0)),"")</f>
        <v>1:53:304</v>
      </c>
      <c r="F83" s="305"/>
      <c r="G83" s="306" t="s">
        <v>25</v>
      </c>
      <c r="H83" s="307">
        <f t="array" ref="H83">IFERROR(INDEX('計測入力シート（ここのみ編集可）'!$BD$17:$BD$116,MATCH(A75&amp;B75,'計測入力シート（ここのみ編集可）'!$BO$17:$BO$116,0)),"")</f>
        <v>1.160830277</v>
      </c>
    </row>
    <row r="84" ht="20.25" customHeight="1">
      <c r="D84" s="308"/>
    </row>
    <row r="85" ht="27.0" customHeight="1">
      <c r="A85" s="52" t="str">
        <f>A75</f>
        <v>D</v>
      </c>
      <c r="B85" s="52">
        <f>B75+1</f>
        <v>9</v>
      </c>
      <c r="D85" s="271" t="s">
        <v>80</v>
      </c>
      <c r="E85" s="272" t="s">
        <v>81</v>
      </c>
      <c r="F85" s="272" t="s">
        <v>82</v>
      </c>
      <c r="G85" s="273" t="s">
        <v>49</v>
      </c>
      <c r="H85" s="274"/>
    </row>
    <row r="86" ht="27.0" customHeight="1">
      <c r="A86" s="86"/>
      <c r="B86" s="86"/>
      <c r="D86" s="275">
        <f t="array" ref="D86">IFERROR(INDEX('計測入力シート（ここのみ編集可）'!$BN$17:$BN$116,MATCH(A85&amp;B85,'計測入力シート（ここのみ編集可）'!$BO$17:$BO$116,0)),"")</f>
        <v>9</v>
      </c>
      <c r="E86" s="276" t="str">
        <f t="array" ref="E86">IFERROR(INDEX('計測入力シート（ここのみ編集可）'!$BP$17:$BP$116,MATCH(A85&amp;B85,'計測入力シート（ここのみ編集可）'!$BO$17:$BO$116,0)),"")</f>
        <v>-</v>
      </c>
      <c r="F86" s="277" t="str">
        <f t="array" ref="F86">IFERROR(INDEX('計測入力シート（ここのみ編集可）'!$BR$17:$BR$116,MATCH(A85&amp;B85,'計測入力シート（ここのみ編集可）'!$BO$17:$BO$116,0)),"")</f>
        <v>-</v>
      </c>
      <c r="G86" s="278">
        <f t="array" ref="G86">IFERROR(INDEX('計測入力シート（ここのみ編集可）'!$BL$17:$BL$116,MATCH(A85&amp;B85,'計測入力シート（ここのみ編集可）'!$BO$17:$BO$116,0)),"")</f>
        <v>35</v>
      </c>
      <c r="H86" s="279"/>
    </row>
    <row r="87" ht="27.0" customHeight="1">
      <c r="D87" s="280" t="s">
        <v>2</v>
      </c>
      <c r="E87" s="281">
        <f t="array" ref="E87">IFERROR(INDEX('計測入力シート（ここのみ編集可）'!$C$17:$C$116,MATCH(A85&amp;B85,'計測入力シート（ここのみ編集可）'!$BO$17:$BO$116,0)),"")</f>
        <v>1</v>
      </c>
      <c r="F87" s="282" t="s">
        <v>17</v>
      </c>
      <c r="G87" s="283" t="str">
        <f t="array" ref="G87">IFERROR(INDEX('計測入力シート（ここのみ編集可）'!$D$17:$D$116,MATCH(A85&amp;B85,'計測入力シート（ここのみ編集可）'!$BO$17:$BO$116,0)),"")</f>
        <v>すちんぐれ</v>
      </c>
      <c r="H87" s="284"/>
    </row>
    <row r="88" ht="27.0" customHeight="1">
      <c r="D88" s="285" t="s">
        <v>1</v>
      </c>
      <c r="E88" s="286" t="str">
        <f t="array" ref="E88">IFERROR(INDEX('計測入力シート（ここのみ編集可）'!$B$17:$B$116,MATCH(A85&amp;B85,'計測入力シート（ここのみ編集可）'!$BO$17:$BO$116,0)),"")</f>
        <v>D</v>
      </c>
      <c r="F88" s="287" t="s">
        <v>18</v>
      </c>
      <c r="G88" s="288" t="str">
        <f t="array" ref="G88">IFERROR(INDEX('計測入力シート（ここのみ編集可）'!$E$17:$E$116,MATCH(A85&amp;B85,'計測入力シート（ここのみ編集可）'!$BO$17:$BO$116,0)),"")</f>
        <v>VTR</v>
      </c>
      <c r="H88" s="289"/>
    </row>
    <row r="89" ht="24.75" customHeight="1">
      <c r="D89" s="290" t="s">
        <v>92</v>
      </c>
      <c r="E89" s="291" t="str">
        <f t="array" ref="E89">IFERROR(INDEX(#REF!,MATCH(A85&amp;B85,'計測入力シート（ここのみ編集可）'!$BO$17:$BO$116,0)),"")</f>
        <v/>
      </c>
      <c r="H89" s="232"/>
    </row>
    <row r="90" ht="52.5" customHeight="1">
      <c r="D90" s="292" t="s">
        <v>100</v>
      </c>
      <c r="E90" s="293" t="str">
        <f t="array" ref="E90">IFERROR(INDEX(#REF!,MATCH(A85&amp;B85,'計測入力シート（ここのみ編集可）'!$BO$17:$BO$116,0)),"")</f>
        <v/>
      </c>
      <c r="F90" s="95"/>
      <c r="G90" s="95"/>
      <c r="H90" s="96"/>
    </row>
    <row r="91" ht="20.25" customHeight="1">
      <c r="D91" s="294" t="s">
        <v>39</v>
      </c>
      <c r="E91" s="295" t="str">
        <f t="array" ref="E91">IFERROR(INDEX('計測入力シート（ここのみ編集可）'!$AW$17:$AW$116,MATCH(A85&amp;B85,'計測入力シート（ここのみ編集可）'!$BO$17:$BO$116,0)),"")</f>
        <v>1:57:901</v>
      </c>
      <c r="F91" s="296"/>
      <c r="G91" s="297" t="s">
        <v>110</v>
      </c>
      <c r="H91" s="298" t="str">
        <f t="array" ref="H91">IFERROR(INDEX('計測入力シート（ここのみ編集可）'!$AY$17:$AY$116,MATCH(A85&amp;B85,'計測入力シート（ここのみ編集可）'!$BO$17:$BO$116,0)),"")</f>
        <v>-</v>
      </c>
    </row>
    <row r="92" ht="20.25" customHeight="1">
      <c r="D92" s="299" t="s">
        <v>42</v>
      </c>
      <c r="E92" s="300" t="str">
        <f t="array" ref="E92">IFERROR(INDEX('計測入力シート（ここのみ編集可）'!$AZ$17:$AZ$116,MATCH(A85&amp;B85,'計測入力シート（ここのみ編集可）'!$BO$17:$BO$116,0)),"")</f>
        <v>2:00:349</v>
      </c>
      <c r="F92" s="116"/>
      <c r="G92" s="301" t="s">
        <v>111</v>
      </c>
      <c r="H92" s="302" t="str">
        <f t="array" ref="H92">IFERROR(INDEX('計測入力シート（ここのみ編集可）'!$BB$17:$BB$116,MATCH(A85&amp;B85,'計測入力シート（ここのみ編集可）'!$BO$17:$BO$116,0)),"")</f>
        <v>-</v>
      </c>
    </row>
    <row r="93" ht="20.25" customHeight="1">
      <c r="D93" s="303" t="s">
        <v>112</v>
      </c>
      <c r="E93" s="304" t="str">
        <f t="array" ref="E93">IFERROR(INDEX('計測入力シート（ここのみ編集可）'!$BC$17:$BC$116,MATCH(A85&amp;B85,'計測入力シート（ここのみ編集可）'!$BO$17:$BO$116,0)),"")</f>
        <v>1:57:901</v>
      </c>
      <c r="F93" s="305"/>
      <c r="G93" s="306" t="s">
        <v>25</v>
      </c>
      <c r="H93" s="307">
        <f t="array" ref="H93">IFERROR(INDEX('計測入力シート（ここのみ編集可）'!$BD$17:$BD$116,MATCH(A85&amp;B85,'計測入力シート（ここのみ編集可）'!$BO$17:$BO$116,0)),"")</f>
        <v>1.207927791</v>
      </c>
    </row>
    <row r="94" ht="20.25" customHeight="1">
      <c r="D94" s="308"/>
    </row>
    <row r="95" ht="27.0" customHeight="1">
      <c r="A95" s="52" t="str">
        <f>A85</f>
        <v>D</v>
      </c>
      <c r="B95" s="52">
        <f>B85+1</f>
        <v>10</v>
      </c>
      <c r="D95" s="271" t="s">
        <v>80</v>
      </c>
      <c r="E95" s="272" t="s">
        <v>81</v>
      </c>
      <c r="F95" s="272" t="s">
        <v>82</v>
      </c>
      <c r="G95" s="273" t="s">
        <v>49</v>
      </c>
      <c r="H95" s="274"/>
    </row>
    <row r="96" ht="27.0" customHeight="1">
      <c r="A96" s="86"/>
      <c r="B96" s="86"/>
      <c r="D96" s="275">
        <f t="array" ref="D96">IFERROR(INDEX('計測入力シート（ここのみ編集可）'!$BN$17:$BN$116,MATCH(A95&amp;B95,'計測入力シート（ここのみ編集可）'!$BO$17:$BO$116,0)),"")</f>
        <v>10</v>
      </c>
      <c r="E96" s="276" t="str">
        <f t="array" ref="E96">IFERROR(INDEX('計測入力シート（ここのみ編集可）'!$BP$17:$BP$116,MATCH(A95&amp;B95,'計測入力シート（ここのみ編集可）'!$BO$17:$BO$116,0)),"")</f>
        <v>-</v>
      </c>
      <c r="F96" s="277" t="str">
        <f t="array" ref="F96">IFERROR(INDEX('計測入力シート（ここのみ編集可）'!$BR$17:$BR$116,MATCH(A95&amp;B95,'計測入力シート（ここのみ編集可）'!$BO$17:$BO$116,0)),"")</f>
        <v>-</v>
      </c>
      <c r="G96" s="278">
        <f t="array" ref="G96">IFERROR(INDEX('計測入力シート（ここのみ編集可）'!$BL$17:$BL$116,MATCH(A95&amp;B95,'計測入力シート（ここのみ編集可）'!$BO$17:$BO$116,0)),"")</f>
        <v>36</v>
      </c>
      <c r="H96" s="279"/>
    </row>
    <row r="97" ht="27.0" customHeight="1">
      <c r="D97" s="280" t="s">
        <v>2</v>
      </c>
      <c r="E97" s="281">
        <f t="array" ref="E97">IFERROR(INDEX('計測入力シート（ここのみ編集可）'!$C$17:$C$116,MATCH(A95&amp;B95,'計測入力シート（ここのみ編集可）'!$BO$17:$BO$116,0)),"")</f>
        <v>8</v>
      </c>
      <c r="F97" s="282" t="s">
        <v>17</v>
      </c>
      <c r="G97" s="283" t="str">
        <f t="array" ref="G97">IFERROR(INDEX('計測入力シート（ここのみ編集可）'!$D$17:$D$116,MATCH(A95&amp;B95,'計測入力シート（ここのみ編集可）'!$BO$17:$BO$116,0)),"")</f>
        <v>たま</v>
      </c>
      <c r="H97" s="284"/>
    </row>
    <row r="98" ht="27.0" customHeight="1">
      <c r="D98" s="285" t="s">
        <v>1</v>
      </c>
      <c r="E98" s="286" t="str">
        <f t="array" ref="E98">IFERROR(INDEX('計測入力シート（ここのみ編集可）'!$B$17:$B$116,MATCH(A95&amp;B95,'計測入力シート（ここのみ編集可）'!$BO$17:$BO$116,0)),"")</f>
        <v>D</v>
      </c>
      <c r="F98" s="287" t="s">
        <v>18</v>
      </c>
      <c r="G98" s="288" t="str">
        <f t="array" ref="G98">IFERROR(INDEX('計測入力シート（ここのみ編集可）'!$E$17:$E$116,MATCH(A95&amp;B95,'計測入力シート（ここのみ編集可）'!$BO$17:$BO$116,0)),"")</f>
        <v>GSX-S1000</v>
      </c>
      <c r="H98" s="289"/>
    </row>
    <row r="99" ht="24.75" customHeight="1">
      <c r="D99" s="290" t="s">
        <v>92</v>
      </c>
      <c r="E99" s="291" t="str">
        <f t="array" ref="E99">IFERROR(INDEX(#REF!,MATCH(A95&amp;B95,'計測入力シート（ここのみ編集可）'!$BO$17:$BO$116,0)),"")</f>
        <v/>
      </c>
      <c r="H99" s="232"/>
    </row>
    <row r="100" ht="52.5" customHeight="1">
      <c r="D100" s="292" t="s">
        <v>100</v>
      </c>
      <c r="E100" s="293" t="str">
        <f t="array" ref="E100">IFERROR(INDEX(#REF!,MATCH(A95&amp;B95,'計測入力シート（ここのみ編集可）'!$BO$17:$BO$116,0)),"")</f>
        <v/>
      </c>
      <c r="F100" s="95"/>
      <c r="G100" s="95"/>
      <c r="H100" s="96"/>
    </row>
    <row r="101" ht="20.25" customHeight="1">
      <c r="D101" s="294" t="s">
        <v>39</v>
      </c>
      <c r="E101" s="295" t="str">
        <f t="array" ref="E101">IFERROR(INDEX('計測入力シート（ここのみ編集可）'!$AW$17:$AW$116,MATCH(A95&amp;B95,'計測入力シート（ここのみ編集可）'!$BO$17:$BO$116,0)),"")</f>
        <v>9:99:999</v>
      </c>
      <c r="F101" s="296"/>
      <c r="G101" s="297" t="s">
        <v>110</v>
      </c>
      <c r="H101" s="298" t="str">
        <f t="array" ref="H101">IFERROR(INDEX('計測入力シート（ここのみ編集可）'!$AY$17:$AY$116,MATCH(A95&amp;B95,'計測入力シート（ここのみ編集可）'!$BO$17:$BO$116,0)),"")</f>
        <v>MC</v>
      </c>
    </row>
    <row r="102" ht="20.25" customHeight="1">
      <c r="D102" s="299" t="s">
        <v>42</v>
      </c>
      <c r="E102" s="300" t="str">
        <f t="array" ref="E102">IFERROR(INDEX('計測入力シート（ここのみ編集可）'!$AZ$17:$AZ$116,MATCH(A95&amp;B95,'計測入力シート（ここのみ編集可）'!$BO$17:$BO$116,0)),"")</f>
        <v>1:57:988</v>
      </c>
      <c r="F102" s="116"/>
      <c r="G102" s="301" t="s">
        <v>111</v>
      </c>
      <c r="H102" s="302" t="str">
        <f t="array" ref="H102">IFERROR(INDEX('計測入力シート（ここのみ編集可）'!$BB$17:$BB$116,MATCH(A95&amp;B95,'計測入力シート（ここのみ編集可）'!$BO$17:$BO$116,0)),"")</f>
        <v>-</v>
      </c>
    </row>
    <row r="103" ht="20.25" customHeight="1">
      <c r="D103" s="303" t="s">
        <v>112</v>
      </c>
      <c r="E103" s="304" t="str">
        <f t="array" ref="E103">IFERROR(INDEX('計測入力シート（ここのみ編集可）'!$BC$17:$BC$116,MATCH(A95&amp;B95,'計測入力シート（ここのみ編集可）'!$BO$17:$BO$116,0)),"")</f>
        <v>1:57:988</v>
      </c>
      <c r="F103" s="305"/>
      <c r="G103" s="306" t="s">
        <v>25</v>
      </c>
      <c r="H103" s="307">
        <f t="array" ref="H103">IFERROR(INDEX('計測入力シート（ここのみ編集可）'!$BD$17:$BD$116,MATCH(A95&amp;B95,'計測入力シート（ここのみ編集可）'!$BO$17:$BO$116,0)),"")</f>
        <v>1.20881913</v>
      </c>
    </row>
    <row r="104" ht="20.25" customHeight="1">
      <c r="D104" s="308"/>
    </row>
    <row r="105" ht="27.0" customHeight="1">
      <c r="A105" s="52" t="str">
        <f>A95</f>
        <v>D</v>
      </c>
      <c r="B105" s="52">
        <f>B95+1</f>
        <v>11</v>
      </c>
      <c r="D105" s="271" t="s">
        <v>80</v>
      </c>
      <c r="E105" s="272" t="s">
        <v>81</v>
      </c>
      <c r="F105" s="272" t="s">
        <v>82</v>
      </c>
      <c r="G105" s="273" t="s">
        <v>49</v>
      </c>
      <c r="H105" s="274"/>
    </row>
    <row r="106" ht="27.0" customHeight="1">
      <c r="A106" s="86"/>
      <c r="B106" s="86"/>
      <c r="D106" s="275">
        <f t="array" ref="D106">IFERROR(INDEX('計測入力シート（ここのみ編集可）'!$BN$17:$BN$116,MATCH(A105&amp;B105,'計測入力シート（ここのみ編集可）'!$BO$17:$BO$116,0)),"")</f>
        <v>11</v>
      </c>
      <c r="E106" s="276" t="str">
        <f t="array" ref="E106">IFERROR(INDEX('計測入力シート（ここのみ編集可）'!$BP$17:$BP$116,MATCH(A105&amp;B105,'計測入力シート（ここのみ編集可）'!$BO$17:$BO$116,0)),"")</f>
        <v>-</v>
      </c>
      <c r="F106" s="277" t="str">
        <f t="array" ref="F106">IFERROR(INDEX('計測入力シート（ここのみ編集可）'!$BR$17:$BR$116,MATCH(A105&amp;B105,'計測入力シート（ここのみ編集可）'!$BO$17:$BO$116,0)),"")</f>
        <v>-</v>
      </c>
      <c r="G106" s="278">
        <f t="array" ref="G106">IFERROR(INDEX('計測入力シート（ここのみ編集可）'!$BL$17:$BL$116,MATCH(A105&amp;B105,'計測入力シート（ここのみ編集可）'!$BO$17:$BO$116,0)),"")</f>
        <v>38</v>
      </c>
      <c r="H106" s="279"/>
    </row>
    <row r="107" ht="27.0" customHeight="1">
      <c r="D107" s="280" t="s">
        <v>2</v>
      </c>
      <c r="E107" s="281">
        <f t="array" ref="E107">IFERROR(INDEX('計測入力シート（ここのみ編集可）'!$C$17:$C$116,MATCH(A105&amp;B105,'計測入力シート（ここのみ編集可）'!$BO$17:$BO$116,0)),"")</f>
        <v>4</v>
      </c>
      <c r="F107" s="282" t="s">
        <v>17</v>
      </c>
      <c r="G107" s="283" t="str">
        <f t="array" ref="G107">IFERROR(INDEX('計測入力シート（ここのみ編集可）'!$D$17:$D$116,MATCH(A105&amp;B105,'計測入力シート（ここのみ編集可）'!$BO$17:$BO$116,0)),"")</f>
        <v>フラッキーニョ</v>
      </c>
      <c r="H107" s="284"/>
    </row>
    <row r="108" ht="27.0" customHeight="1">
      <c r="D108" s="285" t="s">
        <v>1</v>
      </c>
      <c r="E108" s="286" t="str">
        <f t="array" ref="E108">IFERROR(INDEX('計測入力シート（ここのみ編集可）'!$B$17:$B$116,MATCH(A105&amp;B105,'計測入力シート（ここのみ編集可）'!$BO$17:$BO$116,0)),"")</f>
        <v>D</v>
      </c>
      <c r="F108" s="287" t="s">
        <v>18</v>
      </c>
      <c r="G108" s="288" t="str">
        <f t="array" ref="G108">IFERROR(INDEX('計測入力シート（ここのみ編集可）'!$E$17:$E$116,MATCH(A105&amp;B105,'計測入力シート（ここのみ編集可）'!$BO$17:$BO$116,0)),"")</f>
        <v>Ninja650</v>
      </c>
      <c r="H108" s="289"/>
    </row>
    <row r="109" ht="24.75" customHeight="1">
      <c r="D109" s="290" t="s">
        <v>92</v>
      </c>
      <c r="E109" s="291" t="str">
        <f t="array" ref="E109">IFERROR(INDEX(#REF!,MATCH(A105&amp;B105,'計測入力シート（ここのみ編集可）'!$BO$17:$BO$116,0)),"")</f>
        <v/>
      </c>
      <c r="H109" s="232"/>
    </row>
    <row r="110" ht="52.5" customHeight="1">
      <c r="D110" s="292" t="s">
        <v>100</v>
      </c>
      <c r="E110" s="293" t="str">
        <f t="array" ref="E110">IFERROR(INDEX(#REF!,MATCH(A105&amp;B105,'計測入力シート（ここのみ編集可）'!$BO$17:$BO$116,0)),"")</f>
        <v/>
      </c>
      <c r="F110" s="95"/>
      <c r="G110" s="95"/>
      <c r="H110" s="96"/>
    </row>
    <row r="111" ht="20.25" customHeight="1">
      <c r="D111" s="294" t="s">
        <v>39</v>
      </c>
      <c r="E111" s="295" t="str">
        <f t="array" ref="E111">IFERROR(INDEX('計測入力シート（ここのみ編集可）'!$AW$17:$AW$116,MATCH(A105&amp;B105,'計測入力シート（ここのみ編集可）'!$BO$17:$BO$116,0)),"")</f>
        <v>1:58:659</v>
      </c>
      <c r="F111" s="296"/>
      <c r="G111" s="297" t="s">
        <v>110</v>
      </c>
      <c r="H111" s="298" t="str">
        <f t="array" ref="H111">IFERROR(INDEX('計測入力シート（ここのみ編集可）'!$AY$17:$AY$116,MATCH(A105&amp;B105,'計測入力シート（ここのみ編集可）'!$BO$17:$BO$116,0)),"")</f>
        <v>-</v>
      </c>
    </row>
    <row r="112" ht="20.25" customHeight="1">
      <c r="D112" s="299" t="s">
        <v>42</v>
      </c>
      <c r="E112" s="300" t="str">
        <f t="array" ref="E112">IFERROR(INDEX('計測入力シート（ここのみ編集可）'!$AZ$17:$AZ$116,MATCH(A105&amp;B105,'計測入力シート（ここのみ編集可）'!$BO$17:$BO$116,0)),"")</f>
        <v>9:99:999</v>
      </c>
      <c r="F112" s="116"/>
      <c r="G112" s="301" t="s">
        <v>111</v>
      </c>
      <c r="H112" s="302" t="str">
        <f t="array" ref="H112">IFERROR(INDEX('計測入力シート（ここのみ編集可）'!$BB$17:$BB$116,MATCH(A105&amp;B105,'計測入力シート（ここのみ編集可）'!$BO$17:$BO$116,0)),"")</f>
        <v>MC</v>
      </c>
    </row>
    <row r="113" ht="20.25" customHeight="1">
      <c r="D113" s="303" t="s">
        <v>112</v>
      </c>
      <c r="E113" s="304" t="str">
        <f t="array" ref="E113">IFERROR(INDEX('計測入力シート（ここのみ編集可）'!$BC$17:$BC$116,MATCH(A105&amp;B105,'計測入力シート（ここのみ編集可）'!$BO$17:$BO$116,0)),"")</f>
        <v>1:58:659</v>
      </c>
      <c r="F113" s="305"/>
      <c r="G113" s="306" t="s">
        <v>25</v>
      </c>
      <c r="H113" s="307">
        <f t="array" ref="H113">IFERROR(INDEX('計測入力シート（ここのみ編集可）'!$BD$17:$BD$116,MATCH(A105&amp;B105,'計測入力シート（ここのみ編集可）'!$BO$17:$BO$116,0)),"")</f>
        <v>1.215693707</v>
      </c>
    </row>
    <row r="114" ht="20.25" customHeight="1">
      <c r="D114" s="308"/>
    </row>
    <row r="115" ht="27.0" customHeight="1">
      <c r="A115" s="52" t="str">
        <f>A105</f>
        <v>D</v>
      </c>
      <c r="B115" s="52">
        <f>B105+1</f>
        <v>12</v>
      </c>
      <c r="D115" s="271" t="s">
        <v>80</v>
      </c>
      <c r="E115" s="272" t="s">
        <v>81</v>
      </c>
      <c r="F115" s="272" t="s">
        <v>82</v>
      </c>
      <c r="G115" s="273" t="s">
        <v>49</v>
      </c>
      <c r="H115" s="274"/>
    </row>
    <row r="116" ht="27.0" customHeight="1">
      <c r="A116" s="86"/>
      <c r="B116" s="86"/>
      <c r="D116" s="275">
        <f t="array" ref="D116">IFERROR(INDEX('計測入力シート（ここのみ編集可）'!$BN$17:$BN$116,MATCH(A115&amp;B115,'計測入力シート（ここのみ編集可）'!$BO$17:$BO$116,0)),"")</f>
        <v>12</v>
      </c>
      <c r="E116" s="276" t="str">
        <f t="array" ref="E116">IFERROR(INDEX('計測入力シート（ここのみ編集可）'!$BP$17:$BP$116,MATCH(A115&amp;B115,'計測入力シート（ここのみ編集可）'!$BO$17:$BO$116,0)),"")</f>
        <v>-</v>
      </c>
      <c r="F116" s="277" t="str">
        <f t="array" ref="F116">IFERROR(INDEX('計測入力シート（ここのみ編集可）'!$BR$17:$BR$116,MATCH(A115&amp;B115,'計測入力シート（ここのみ編集可）'!$BO$17:$BO$116,0)),"")</f>
        <v>-</v>
      </c>
      <c r="G116" s="278">
        <f t="array" ref="G116">IFERROR(INDEX('計測入力シート（ここのみ編集可）'!$BL$17:$BL$116,MATCH(A115&amp;B115,'計測入力シート（ここのみ編集可）'!$BO$17:$BO$116,0)),"")</f>
        <v>40</v>
      </c>
      <c r="H116" s="279"/>
    </row>
    <row r="117" ht="27.0" customHeight="1">
      <c r="D117" s="280" t="s">
        <v>2</v>
      </c>
      <c r="E117" s="281">
        <f t="array" ref="E117">IFERROR(INDEX('計測入力シート（ここのみ編集可）'!$C$17:$C$116,MATCH(A115&amp;B115,'計測入力シート（ここのみ編集可）'!$BO$17:$BO$116,0)),"")</f>
        <v>3</v>
      </c>
      <c r="F117" s="282" t="s">
        <v>17</v>
      </c>
      <c r="G117" s="283" t="str">
        <f t="array" ref="G117">IFERROR(INDEX('計測入力シート（ここのみ編集可）'!$D$17:$D$116,MATCH(A115&amp;B115,'計測入力シート（ここのみ編集可）'!$BO$17:$BO$116,0)),"")</f>
        <v>タンビーナ</v>
      </c>
      <c r="H117" s="284"/>
    </row>
    <row r="118" ht="27.0" customHeight="1">
      <c r="D118" s="285" t="s">
        <v>1</v>
      </c>
      <c r="E118" s="286" t="str">
        <f t="array" ref="E118">IFERROR(INDEX('計測入力シート（ここのみ編集可）'!$B$17:$B$116,MATCH(A115&amp;B115,'計測入力シート（ここのみ編集可）'!$BO$17:$BO$116,0)),"")</f>
        <v>D</v>
      </c>
      <c r="F118" s="287" t="s">
        <v>18</v>
      </c>
      <c r="G118" s="288" t="str">
        <f t="array" ref="G118">IFERROR(INDEX('計測入力シート（ここのみ編集可）'!$E$17:$E$116,MATCH(A115&amp;B115,'計測入力シート（ここのみ編集可）'!$BO$17:$BO$116,0)),"")</f>
        <v>MT-03</v>
      </c>
      <c r="H118" s="289"/>
    </row>
    <row r="119" ht="24.75" customHeight="1">
      <c r="D119" s="290" t="s">
        <v>92</v>
      </c>
      <c r="E119" s="291" t="str">
        <f t="array" ref="E119">IFERROR(INDEX(#REF!,MATCH(A115&amp;B115,'計測入力シート（ここのみ編集可）'!$BO$17:$BO$116,0)),"")</f>
        <v/>
      </c>
      <c r="H119" s="232"/>
    </row>
    <row r="120" ht="52.5" customHeight="1">
      <c r="D120" s="292" t="s">
        <v>100</v>
      </c>
      <c r="E120" s="293" t="str">
        <f t="array" ref="E120">IFERROR(INDEX(#REF!,MATCH(A115&amp;B115,'計測入力シート（ここのみ編集可）'!$BO$17:$BO$116,0)),"")</f>
        <v/>
      </c>
      <c r="F120" s="95"/>
      <c r="G120" s="95"/>
      <c r="H120" s="96"/>
    </row>
    <row r="121" ht="20.25" customHeight="1">
      <c r="D121" s="294" t="s">
        <v>39</v>
      </c>
      <c r="E121" s="295" t="str">
        <f t="array" ref="E121">IFERROR(INDEX('計測入力シート（ここのみ編集可）'!$AW$17:$AW$116,MATCH(A115&amp;B115,'計測入力シート（ここのみ編集可）'!$BO$17:$BO$116,0)),"")</f>
        <v>9:99:999</v>
      </c>
      <c r="F121" s="296"/>
      <c r="G121" s="297" t="s">
        <v>110</v>
      </c>
      <c r="H121" s="298" t="str">
        <f t="array" ref="H121">IFERROR(INDEX('計測入力シート（ここのみ編集可）'!$AY$17:$AY$116,MATCH(A115&amp;B115,'計測入力シート（ここのみ編集可）'!$BO$17:$BO$116,0)),"")</f>
        <v>MC</v>
      </c>
    </row>
    <row r="122" ht="20.25" customHeight="1">
      <c r="D122" s="299" t="s">
        <v>42</v>
      </c>
      <c r="E122" s="300" t="str">
        <f t="array" ref="E122">IFERROR(INDEX('計測入力シート（ここのみ編集可）'!$AZ$17:$AZ$116,MATCH(A115&amp;B115,'計測入力シート（ここのみ編集可）'!$BO$17:$BO$116,0)),"")</f>
        <v>2:00:283</v>
      </c>
      <c r="F122" s="116"/>
      <c r="G122" s="301" t="s">
        <v>111</v>
      </c>
      <c r="H122" s="302" t="str">
        <f t="array" ref="H122">IFERROR(INDEX('計測入力シート（ここのみ編集可）'!$BB$17:$BB$116,MATCH(A115&amp;B115,'計測入力シート（ここのみ編集可）'!$BO$17:$BO$116,0)),"")</f>
        <v>-</v>
      </c>
    </row>
    <row r="123" ht="20.25" customHeight="1">
      <c r="D123" s="303" t="s">
        <v>112</v>
      </c>
      <c r="E123" s="304" t="str">
        <f t="array" ref="E123">IFERROR(INDEX('計測入力シート（ここのみ編集可）'!$BC$17:$BC$116,MATCH(A115&amp;B115,'計測入力シート（ここのみ編集可）'!$BO$17:$BO$116,0)),"")</f>
        <v>2:00:283</v>
      </c>
      <c r="F123" s="305"/>
      <c r="G123" s="306" t="s">
        <v>25</v>
      </c>
      <c r="H123" s="307">
        <f t="array" ref="H123">IFERROR(INDEX('計測入力シート（ここのみ編集可）'!$BD$17:$BD$116,MATCH(A115&amp;B115,'計測入力シート（ここのみ編集可）'!$BO$17:$BO$116,0)),"")</f>
        <v>1.232332029</v>
      </c>
    </row>
    <row r="124" ht="20.25" customHeight="1">
      <c r="D124" s="308"/>
    </row>
    <row r="125" ht="27.0" customHeight="1">
      <c r="A125" s="52" t="str">
        <f>A115</f>
        <v>D</v>
      </c>
      <c r="B125" s="52">
        <f>B115+1</f>
        <v>13</v>
      </c>
      <c r="D125" s="271" t="s">
        <v>80</v>
      </c>
      <c r="E125" s="272" t="s">
        <v>81</v>
      </c>
      <c r="F125" s="272" t="s">
        <v>82</v>
      </c>
      <c r="G125" s="273" t="s">
        <v>49</v>
      </c>
      <c r="H125" s="274"/>
    </row>
    <row r="126" ht="27.0" customHeight="1">
      <c r="A126" s="86"/>
      <c r="B126" s="86"/>
      <c r="D126" s="275">
        <f t="array" ref="D126">IFERROR(INDEX('計測入力シート（ここのみ編集可）'!$BN$17:$BN$116,MATCH(A125&amp;B125,'計測入力シート（ここのみ編集可）'!$BO$17:$BO$116,0)),"")</f>
        <v>13</v>
      </c>
      <c r="E126" s="276">
        <f t="array" ref="E126">IFERROR(INDEX('計測入力シート（ここのみ編集可）'!$BP$17:$BP$116,MATCH(A125&amp;B125,'計測入力シート（ここのみ編集可）'!$BO$17:$BO$116,0)),"")</f>
        <v>4</v>
      </c>
      <c r="F126" s="277" t="str">
        <f t="array" ref="F126">IFERROR(INDEX('計測入力シート（ここのみ編集可）'!$BR$17:$BR$116,MATCH(A125&amp;B125,'計測入力シート（ここのみ編集可）'!$BO$17:$BO$116,0)),"")</f>
        <v>-</v>
      </c>
      <c r="G126" s="278">
        <f t="array" ref="G126">IFERROR(INDEX('計測入力シート（ここのみ編集可）'!$BL$17:$BL$116,MATCH(A125&amp;B125,'計測入力シート（ここのみ編集可）'!$BO$17:$BO$116,0)),"")</f>
        <v>43</v>
      </c>
      <c r="H126" s="279"/>
    </row>
    <row r="127" ht="27.0" customHeight="1">
      <c r="D127" s="280" t="s">
        <v>2</v>
      </c>
      <c r="E127" s="281">
        <f t="array" ref="E127">IFERROR(INDEX('計測入力シート（ここのみ編集可）'!$C$17:$C$116,MATCH(A125&amp;B125,'計測入力シート（ここのみ編集可）'!$BO$17:$BO$116,0)),"")</f>
        <v>11</v>
      </c>
      <c r="F127" s="282" t="s">
        <v>17</v>
      </c>
      <c r="G127" s="283" t="str">
        <f t="array" ref="G127">IFERROR(INDEX('計測入力シート（ここのみ編集可）'!$D$17:$D$116,MATCH(A125&amp;B125,'計測入力シート（ここのみ編集可）'!$BO$17:$BO$116,0)),"")</f>
        <v>ニダボちゃん</v>
      </c>
      <c r="H127" s="284"/>
    </row>
    <row r="128" ht="27.0" customHeight="1">
      <c r="D128" s="285" t="s">
        <v>1</v>
      </c>
      <c r="E128" s="286" t="str">
        <f t="array" ref="E128">IFERROR(INDEX('計測入力シート（ここのみ編集可）'!$B$17:$B$116,MATCH(A125&amp;B125,'計測入力シート（ここのみ編集可）'!$BO$17:$BO$116,0)),"")</f>
        <v>D</v>
      </c>
      <c r="F128" s="287" t="s">
        <v>18</v>
      </c>
      <c r="G128" s="288" t="str">
        <f t="array" ref="G128">IFERROR(INDEX('計測入力シート（ここのみ編集可）'!$E$17:$E$116,MATCH(A125&amp;B125,'計測入力シート（ここのみ編集可）'!$BO$17:$BO$116,0)),"")</f>
        <v>CBR250RR</v>
      </c>
      <c r="H128" s="289"/>
    </row>
    <row r="129" ht="24.75" customHeight="1">
      <c r="D129" s="290" t="s">
        <v>92</v>
      </c>
      <c r="E129" s="291" t="str">
        <f t="array" ref="E129">IFERROR(INDEX(#REF!,MATCH(A125&amp;B125,'計測入力シート（ここのみ編集可）'!$BO$17:$BO$116,0)),"")</f>
        <v/>
      </c>
      <c r="H129" s="232"/>
    </row>
    <row r="130" ht="52.5" customHeight="1">
      <c r="D130" s="292" t="s">
        <v>100</v>
      </c>
      <c r="E130" s="293" t="str">
        <f t="array" ref="E130">IFERROR(INDEX(#REF!,MATCH(A125&amp;B125,'計測入力シート（ここのみ編集可）'!$BO$17:$BO$116,0)),"")</f>
        <v/>
      </c>
      <c r="F130" s="95"/>
      <c r="G130" s="95"/>
      <c r="H130" s="96"/>
    </row>
    <row r="131" ht="20.25" customHeight="1">
      <c r="D131" s="294" t="s">
        <v>39</v>
      </c>
      <c r="E131" s="295" t="str">
        <f t="array" ref="E131">IFERROR(INDEX('計測入力シート（ここのみ編集可）'!$AW$17:$AW$116,MATCH(A125&amp;B125,'計測入力シート（ここのみ編集可）'!$BO$17:$BO$116,0)),"")</f>
        <v>2:03:159</v>
      </c>
      <c r="F131" s="296"/>
      <c r="G131" s="297" t="s">
        <v>110</v>
      </c>
      <c r="H131" s="298" t="str">
        <f t="array" ref="H131">IFERROR(INDEX('計測入力シート（ここのみ編集可）'!$AY$17:$AY$116,MATCH(A125&amp;B125,'計測入力シート（ここのみ編集可）'!$BO$17:$BO$116,0)),"")</f>
        <v>-</v>
      </c>
    </row>
    <row r="132" ht="20.25" customHeight="1">
      <c r="D132" s="299" t="s">
        <v>42</v>
      </c>
      <c r="E132" s="300" t="str">
        <f t="array" ref="E132">IFERROR(INDEX('計測入力シート（ここのみ編集可）'!$AZ$17:$AZ$116,MATCH(A125&amp;B125,'計測入力シート（ここのみ編集可）'!$BO$17:$BO$116,0)),"")</f>
        <v>2:01:746</v>
      </c>
      <c r="F132" s="116"/>
      <c r="G132" s="301" t="s">
        <v>111</v>
      </c>
      <c r="H132" s="302">
        <f t="array" ref="H132">IFERROR(INDEX('計測入力シート（ここのみ編集可）'!$BB$17:$BB$116,MATCH(A125&amp;B125,'計測入力シート（ここのみ編集可）'!$BO$17:$BO$116,0)),"")</f>
        <v>1</v>
      </c>
    </row>
    <row r="133" ht="20.25" customHeight="1">
      <c r="D133" s="303" t="s">
        <v>112</v>
      </c>
      <c r="E133" s="304" t="str">
        <f t="array" ref="E133">IFERROR(INDEX('計測入力シート（ここのみ編集可）'!$BC$17:$BC$116,MATCH(A125&amp;B125,'計測入力シート（ここのみ編集可）'!$BO$17:$BO$116,0)),"")</f>
        <v>2:02:746</v>
      </c>
      <c r="F133" s="305"/>
      <c r="G133" s="306" t="s">
        <v>25</v>
      </c>
      <c r="H133" s="307">
        <f t="array" ref="H133">IFERROR(INDEX('計測入力シート（ここのみ編集可）'!$BD$17:$BD$116,MATCH(A125&amp;B125,'計測入力シート（ここのみ編集可）'!$BO$17:$BO$116,0)),"")</f>
        <v>1.257566133</v>
      </c>
    </row>
    <row r="134" ht="20.25" customHeight="1">
      <c r="D134" s="308"/>
    </row>
    <row r="135" ht="27.0" customHeight="1">
      <c r="A135" s="52" t="str">
        <f>A125</f>
        <v>D</v>
      </c>
      <c r="B135" s="52">
        <f>B125+1</f>
        <v>14</v>
      </c>
      <c r="D135" s="271" t="s">
        <v>80</v>
      </c>
      <c r="E135" s="272" t="s">
        <v>81</v>
      </c>
      <c r="F135" s="272" t="s">
        <v>82</v>
      </c>
      <c r="G135" s="273" t="s">
        <v>49</v>
      </c>
      <c r="H135" s="274"/>
    </row>
    <row r="136" ht="27.0" customHeight="1">
      <c r="A136" s="86"/>
      <c r="B136" s="86"/>
      <c r="D136" s="275" t="str">
        <f t="array" ref="D136">IFERROR(INDEX('計測入力シート（ここのみ編集可）'!$BN$17:$BN$116,MATCH(A135&amp;B135,'計測入力シート（ここのみ編集可）'!$BO$17:$BO$116,0)),"")</f>
        <v/>
      </c>
      <c r="E136" s="276" t="str">
        <f t="array" ref="E136">IFERROR(INDEX('計測入力シート（ここのみ編集可）'!$BP$17:$BP$116,MATCH(A135&amp;B135,'計測入力シート（ここのみ編集可）'!$BO$17:$BO$116,0)),"")</f>
        <v/>
      </c>
      <c r="F136" s="277" t="str">
        <f t="array" ref="F136">IFERROR(INDEX('計測入力シート（ここのみ編集可）'!$BR$17:$BR$116,MATCH(A135&amp;B135,'計測入力シート（ここのみ編集可）'!$BO$17:$BO$116,0)),"")</f>
        <v/>
      </c>
      <c r="G136" s="278" t="str">
        <f t="array" ref="G136">IFERROR(INDEX('計測入力シート（ここのみ編集可）'!$BL$17:$BL$116,MATCH(A135&amp;B135,'計測入力シート（ここのみ編集可）'!$BO$17:$BO$116,0)),"")</f>
        <v/>
      </c>
      <c r="H136" s="279"/>
    </row>
    <row r="137" ht="27.0" customHeight="1">
      <c r="D137" s="280" t="s">
        <v>2</v>
      </c>
      <c r="E137" s="281" t="str">
        <f t="array" ref="E137">IFERROR(INDEX('計測入力シート（ここのみ編集可）'!$C$17:$C$116,MATCH(A135&amp;B135,'計測入力シート（ここのみ編集可）'!$BO$17:$BO$116,0)),"")</f>
        <v/>
      </c>
      <c r="F137" s="282" t="s">
        <v>17</v>
      </c>
      <c r="G137" s="283" t="str">
        <f t="array" ref="G137">IFERROR(INDEX('計測入力シート（ここのみ編集可）'!$D$17:$D$116,MATCH(A135&amp;B135,'計測入力シート（ここのみ編集可）'!$BO$17:$BO$116,0)),"")</f>
        <v/>
      </c>
      <c r="H137" s="284"/>
    </row>
    <row r="138" ht="27.0" customHeight="1">
      <c r="D138" s="285" t="s">
        <v>1</v>
      </c>
      <c r="E138" s="286" t="str">
        <f t="array" ref="E138">IFERROR(INDEX('計測入力シート（ここのみ編集可）'!$B$17:$B$116,MATCH(A135&amp;B135,'計測入力シート（ここのみ編集可）'!$BO$17:$BO$116,0)),"")</f>
        <v/>
      </c>
      <c r="F138" s="287" t="s">
        <v>18</v>
      </c>
      <c r="G138" s="288" t="str">
        <f t="array" ref="G138">IFERROR(INDEX('計測入力シート（ここのみ編集可）'!$E$17:$E$116,MATCH(A135&amp;B135,'計測入力シート（ここのみ編集可）'!$BO$17:$BO$116,0)),"")</f>
        <v/>
      </c>
      <c r="H138" s="289"/>
    </row>
    <row r="139" ht="24.75" customHeight="1">
      <c r="D139" s="290" t="s">
        <v>92</v>
      </c>
      <c r="E139" s="291" t="str">
        <f t="array" ref="E139">IFERROR(INDEX(#REF!,MATCH(A135&amp;B135,'計測入力シート（ここのみ編集可）'!$BO$17:$BO$116,0)),"")</f>
        <v/>
      </c>
      <c r="H139" s="232"/>
    </row>
    <row r="140" ht="52.5" customHeight="1">
      <c r="D140" s="292" t="s">
        <v>100</v>
      </c>
      <c r="E140" s="293" t="str">
        <f t="array" ref="E140">IFERROR(INDEX(#REF!,MATCH(A135&amp;B135,'計測入力シート（ここのみ編集可）'!$BO$17:$BO$116,0)),"")</f>
        <v/>
      </c>
      <c r="F140" s="95"/>
      <c r="G140" s="95"/>
      <c r="H140" s="96"/>
    </row>
    <row r="141" ht="20.25" customHeight="1">
      <c r="D141" s="294" t="s">
        <v>39</v>
      </c>
      <c r="E141" s="295" t="str">
        <f t="array" ref="E141">IFERROR(INDEX('計測入力シート（ここのみ編集可）'!$AW$17:$AW$116,MATCH(A135&amp;B135,'計測入力シート（ここのみ編集可）'!$BO$17:$BO$116,0)),"")</f>
        <v/>
      </c>
      <c r="F141" s="296"/>
      <c r="G141" s="297" t="s">
        <v>110</v>
      </c>
      <c r="H141" s="298" t="str">
        <f t="array" ref="H141">IFERROR(INDEX('計測入力シート（ここのみ編集可）'!$AY$17:$AY$116,MATCH(A135&amp;B135,'計測入力シート（ここのみ編集可）'!$BO$17:$BO$116,0)),"")</f>
        <v/>
      </c>
    </row>
    <row r="142" ht="20.25" customHeight="1">
      <c r="D142" s="299" t="s">
        <v>42</v>
      </c>
      <c r="E142" s="300" t="str">
        <f t="array" ref="E142">IFERROR(INDEX('計測入力シート（ここのみ編集可）'!$AZ$17:$AZ$116,MATCH(A135&amp;B135,'計測入力シート（ここのみ編集可）'!$BO$17:$BO$116,0)),"")</f>
        <v/>
      </c>
      <c r="F142" s="116"/>
      <c r="G142" s="301" t="s">
        <v>111</v>
      </c>
      <c r="H142" s="302" t="str">
        <f t="array" ref="H142">IFERROR(INDEX('計測入力シート（ここのみ編集可）'!$BB$17:$BB$116,MATCH(A135&amp;B135,'計測入力シート（ここのみ編集可）'!$BO$17:$BO$116,0)),"")</f>
        <v/>
      </c>
    </row>
    <row r="143" ht="20.25" customHeight="1">
      <c r="D143" s="303" t="s">
        <v>112</v>
      </c>
      <c r="E143" s="304" t="str">
        <f t="array" ref="E143">IFERROR(INDEX('計測入力シート（ここのみ編集可）'!$BC$17:$BC$116,MATCH(A135&amp;B135,'計測入力シート（ここのみ編集可）'!$BO$17:$BO$116,0)),"")</f>
        <v/>
      </c>
      <c r="F143" s="305"/>
      <c r="G143" s="306" t="s">
        <v>25</v>
      </c>
      <c r="H143" s="307" t="str">
        <f t="array" ref="H143">IFERROR(INDEX('計測入力シート（ここのみ編集可）'!$BD$17:$BD$116,MATCH(A135&amp;B135,'計測入力シート（ここのみ編集可）'!$BO$17:$BO$116,0)),"")</f>
        <v/>
      </c>
    </row>
    <row r="144" ht="20.25" customHeight="1">
      <c r="D144" s="308"/>
    </row>
    <row r="145" ht="27.0" customHeight="1">
      <c r="A145" s="52" t="str">
        <f>A135</f>
        <v>D</v>
      </c>
      <c r="B145" s="52">
        <f>B135+1</f>
        <v>15</v>
      </c>
      <c r="D145" s="271" t="s">
        <v>80</v>
      </c>
      <c r="E145" s="272" t="s">
        <v>81</v>
      </c>
      <c r="F145" s="272" t="s">
        <v>82</v>
      </c>
      <c r="G145" s="273" t="s">
        <v>49</v>
      </c>
      <c r="H145" s="274"/>
    </row>
    <row r="146" ht="27.0" customHeight="1">
      <c r="A146" s="86"/>
      <c r="B146" s="86"/>
      <c r="D146" s="275" t="str">
        <f t="array" ref="D146">IFERROR(INDEX('計測入力シート（ここのみ編集可）'!$BN$17:$BN$116,MATCH(A145&amp;B145,'計測入力シート（ここのみ編集可）'!$BO$17:$BO$116,0)),"")</f>
        <v/>
      </c>
      <c r="E146" s="276" t="str">
        <f t="array" ref="E146">IFERROR(INDEX('計測入力シート（ここのみ編集可）'!$BP$17:$BP$116,MATCH(A145&amp;B145,'計測入力シート（ここのみ編集可）'!$BO$17:$BO$116,0)),"")</f>
        <v/>
      </c>
      <c r="F146" s="277" t="str">
        <f t="array" ref="F146">IFERROR(INDEX('計測入力シート（ここのみ編集可）'!$BR$17:$BR$116,MATCH(A145&amp;B145,'計測入力シート（ここのみ編集可）'!$BO$17:$BO$116,0)),"")</f>
        <v/>
      </c>
      <c r="G146" s="278" t="str">
        <f t="array" ref="G146">IFERROR(INDEX('計測入力シート（ここのみ編集可）'!$BL$17:$BL$116,MATCH(A145&amp;B145,'計測入力シート（ここのみ編集可）'!$BO$17:$BO$116,0)),"")</f>
        <v/>
      </c>
      <c r="H146" s="279"/>
    </row>
    <row r="147" ht="27.0" customHeight="1">
      <c r="D147" s="280" t="s">
        <v>2</v>
      </c>
      <c r="E147" s="281" t="str">
        <f t="array" ref="E147">IFERROR(INDEX('計測入力シート（ここのみ編集可）'!$C$17:$C$116,MATCH(A145&amp;B145,'計測入力シート（ここのみ編集可）'!$BO$17:$BO$116,0)),"")</f>
        <v/>
      </c>
      <c r="F147" s="282" t="s">
        <v>17</v>
      </c>
      <c r="G147" s="283" t="str">
        <f t="array" ref="G147">IFERROR(INDEX('計測入力シート（ここのみ編集可）'!$D$17:$D$116,MATCH(A145&amp;B145,'計測入力シート（ここのみ編集可）'!$BO$17:$BO$116,0)),"")</f>
        <v/>
      </c>
      <c r="H147" s="284"/>
    </row>
    <row r="148" ht="27.0" customHeight="1">
      <c r="D148" s="285" t="s">
        <v>1</v>
      </c>
      <c r="E148" s="286" t="str">
        <f t="array" ref="E148">IFERROR(INDEX('計測入力シート（ここのみ編集可）'!$B$17:$B$116,MATCH(A145&amp;B145,'計測入力シート（ここのみ編集可）'!$BO$17:$BO$116,0)),"")</f>
        <v/>
      </c>
      <c r="F148" s="287" t="s">
        <v>18</v>
      </c>
      <c r="G148" s="288" t="str">
        <f t="array" ref="G148">IFERROR(INDEX('計測入力シート（ここのみ編集可）'!$E$17:$E$116,MATCH(A145&amp;B145,'計測入力シート（ここのみ編集可）'!$BO$17:$BO$116,0)),"")</f>
        <v/>
      </c>
      <c r="H148" s="289"/>
    </row>
    <row r="149" ht="24.75" customHeight="1">
      <c r="D149" s="290" t="s">
        <v>92</v>
      </c>
      <c r="E149" s="291" t="str">
        <f t="array" ref="E149">IFERROR(INDEX(#REF!,MATCH(A145&amp;B145,'計測入力シート（ここのみ編集可）'!$BO$17:$BO$116,0)),"")</f>
        <v/>
      </c>
      <c r="H149" s="232"/>
    </row>
    <row r="150" ht="52.5" customHeight="1">
      <c r="D150" s="292" t="s">
        <v>100</v>
      </c>
      <c r="E150" s="293" t="str">
        <f t="array" ref="E150">IFERROR(INDEX(#REF!,MATCH(A145&amp;B145,'計測入力シート（ここのみ編集可）'!$BO$17:$BO$116,0)),"")</f>
        <v/>
      </c>
      <c r="F150" s="95"/>
      <c r="G150" s="95"/>
      <c r="H150" s="96"/>
    </row>
    <row r="151" ht="20.25" customHeight="1">
      <c r="D151" s="294" t="s">
        <v>39</v>
      </c>
      <c r="E151" s="295" t="str">
        <f t="array" ref="E151">IFERROR(INDEX('計測入力シート（ここのみ編集可）'!$AW$17:$AW$116,MATCH(A145&amp;B145,'計測入力シート（ここのみ編集可）'!$BO$17:$BO$116,0)),"")</f>
        <v/>
      </c>
      <c r="F151" s="296"/>
      <c r="G151" s="297" t="s">
        <v>110</v>
      </c>
      <c r="H151" s="298" t="str">
        <f t="array" ref="H151">IFERROR(INDEX('計測入力シート（ここのみ編集可）'!$AY$17:$AY$116,MATCH(A145&amp;B145,'計測入力シート（ここのみ編集可）'!$BO$17:$BO$116,0)),"")</f>
        <v/>
      </c>
    </row>
    <row r="152" ht="20.25" customHeight="1">
      <c r="D152" s="299" t="s">
        <v>42</v>
      </c>
      <c r="E152" s="300" t="str">
        <f t="array" ref="E152">IFERROR(INDEX('計測入力シート（ここのみ編集可）'!$AZ$17:$AZ$116,MATCH(A145&amp;B145,'計測入力シート（ここのみ編集可）'!$BO$17:$BO$116,0)),"")</f>
        <v/>
      </c>
      <c r="F152" s="116"/>
      <c r="G152" s="301" t="s">
        <v>111</v>
      </c>
      <c r="H152" s="302" t="str">
        <f t="array" ref="H152">IFERROR(INDEX('計測入力シート（ここのみ編集可）'!$BB$17:$BB$116,MATCH(A145&amp;B145,'計測入力シート（ここのみ編集可）'!$BO$17:$BO$116,0)),"")</f>
        <v/>
      </c>
    </row>
    <row r="153" ht="20.25" customHeight="1">
      <c r="D153" s="303" t="s">
        <v>112</v>
      </c>
      <c r="E153" s="304" t="str">
        <f t="array" ref="E153">IFERROR(INDEX('計測入力シート（ここのみ編集可）'!$BC$17:$BC$116,MATCH(A145&amp;B145,'計測入力シート（ここのみ編集可）'!$BO$17:$BO$116,0)),"")</f>
        <v/>
      </c>
      <c r="F153" s="305"/>
      <c r="G153" s="306" t="s">
        <v>25</v>
      </c>
      <c r="H153" s="307" t="str">
        <f t="array" ref="H153">IFERROR(INDEX('計測入力シート（ここのみ編集可）'!$BD$17:$BD$116,MATCH(A145&amp;B145,'計測入力シート（ここのみ編集可）'!$BO$17:$BO$116,0)),"")</f>
        <v/>
      </c>
    </row>
    <row r="154" ht="20.25" customHeight="1">
      <c r="D154" s="308"/>
    </row>
    <row r="155" ht="27.0" customHeight="1">
      <c r="A155" s="52" t="str">
        <f>A145</f>
        <v>D</v>
      </c>
      <c r="B155" s="52">
        <f>B145+1</f>
        <v>16</v>
      </c>
      <c r="D155" s="271" t="s">
        <v>80</v>
      </c>
      <c r="E155" s="272" t="s">
        <v>81</v>
      </c>
      <c r="F155" s="272" t="s">
        <v>82</v>
      </c>
      <c r="G155" s="273" t="s">
        <v>49</v>
      </c>
      <c r="H155" s="274"/>
    </row>
    <row r="156" ht="27.0" customHeight="1">
      <c r="A156" s="86"/>
      <c r="B156" s="86"/>
      <c r="D156" s="275" t="str">
        <f t="array" ref="D156">IFERROR(INDEX('計測入力シート（ここのみ編集可）'!$BN$17:$BN$116,MATCH(A155&amp;B155,'計測入力シート（ここのみ編集可）'!$BO$17:$BO$116,0)),"")</f>
        <v/>
      </c>
      <c r="E156" s="276" t="str">
        <f t="array" ref="E156">IFERROR(INDEX('計測入力シート（ここのみ編集可）'!$BP$17:$BP$116,MATCH(A155&amp;B155,'計測入力シート（ここのみ編集可）'!$BO$17:$BO$116,0)),"")</f>
        <v/>
      </c>
      <c r="F156" s="277" t="str">
        <f t="array" ref="F156">IFERROR(INDEX('計測入力シート（ここのみ編集可）'!$BR$17:$BR$116,MATCH(A155&amp;B155,'計測入力シート（ここのみ編集可）'!$BO$17:$BO$116,0)),"")</f>
        <v/>
      </c>
      <c r="G156" s="278" t="str">
        <f t="array" ref="G156">IFERROR(INDEX('計測入力シート（ここのみ編集可）'!$BL$17:$BL$116,MATCH(A155&amp;B155,'計測入力シート（ここのみ編集可）'!$BO$17:$BO$116,0)),"")</f>
        <v/>
      </c>
      <c r="H156" s="279"/>
    </row>
    <row r="157" ht="27.0" customHeight="1">
      <c r="D157" s="280" t="s">
        <v>2</v>
      </c>
      <c r="E157" s="281" t="str">
        <f t="array" ref="E157">IFERROR(INDEX('計測入力シート（ここのみ編集可）'!$C$17:$C$116,MATCH(A155&amp;B155,'計測入力シート（ここのみ編集可）'!$BO$17:$BO$116,0)),"")</f>
        <v/>
      </c>
      <c r="F157" s="282" t="s">
        <v>17</v>
      </c>
      <c r="G157" s="283" t="str">
        <f t="array" ref="G157">IFERROR(INDEX('計測入力シート（ここのみ編集可）'!$D$17:$D$116,MATCH(A155&amp;B155,'計測入力シート（ここのみ編集可）'!$BO$17:$BO$116,0)),"")</f>
        <v/>
      </c>
      <c r="H157" s="284"/>
    </row>
    <row r="158" ht="27.0" customHeight="1">
      <c r="D158" s="285" t="s">
        <v>1</v>
      </c>
      <c r="E158" s="286" t="str">
        <f t="array" ref="E158">IFERROR(INDEX('計測入力シート（ここのみ編集可）'!$B$17:$B$116,MATCH(A155&amp;B155,'計測入力シート（ここのみ編集可）'!$BO$17:$BO$116,0)),"")</f>
        <v/>
      </c>
      <c r="F158" s="287" t="s">
        <v>18</v>
      </c>
      <c r="G158" s="288" t="str">
        <f t="array" ref="G158">IFERROR(INDEX('計測入力シート（ここのみ編集可）'!$E$17:$E$116,MATCH(A155&amp;B155,'計測入力シート（ここのみ編集可）'!$BO$17:$BO$116,0)),"")</f>
        <v/>
      </c>
      <c r="H158" s="289"/>
    </row>
    <row r="159" ht="24.75" customHeight="1">
      <c r="D159" s="290" t="s">
        <v>92</v>
      </c>
      <c r="E159" s="291" t="str">
        <f t="array" ref="E159">IFERROR(INDEX(#REF!,MATCH(A155&amp;B155,'計測入力シート（ここのみ編集可）'!$BO$17:$BO$116,0)),"")</f>
        <v/>
      </c>
      <c r="H159" s="232"/>
    </row>
    <row r="160" ht="52.5" customHeight="1">
      <c r="D160" s="292" t="s">
        <v>100</v>
      </c>
      <c r="E160" s="293" t="str">
        <f t="array" ref="E160">IFERROR(INDEX(#REF!,MATCH(A155&amp;B155,'計測入力シート（ここのみ編集可）'!$BO$17:$BO$116,0)),"")</f>
        <v/>
      </c>
      <c r="F160" s="95"/>
      <c r="G160" s="95"/>
      <c r="H160" s="96"/>
    </row>
    <row r="161" ht="20.25" customHeight="1">
      <c r="D161" s="294" t="s">
        <v>39</v>
      </c>
      <c r="E161" s="295" t="str">
        <f t="array" ref="E161">IFERROR(INDEX('計測入力シート（ここのみ編集可）'!$AW$17:$AW$116,MATCH(A155&amp;B155,'計測入力シート（ここのみ編集可）'!$BO$17:$BO$116,0)),"")</f>
        <v/>
      </c>
      <c r="F161" s="296"/>
      <c r="G161" s="297" t="s">
        <v>110</v>
      </c>
      <c r="H161" s="298" t="str">
        <f t="array" ref="H161">IFERROR(INDEX('計測入力シート（ここのみ編集可）'!$AY$17:$AY$116,MATCH(A155&amp;B155,'計測入力シート（ここのみ編集可）'!$BO$17:$BO$116,0)),"")</f>
        <v/>
      </c>
    </row>
    <row r="162" ht="20.25" customHeight="1">
      <c r="D162" s="299" t="s">
        <v>42</v>
      </c>
      <c r="E162" s="300" t="str">
        <f t="array" ref="E162">IFERROR(INDEX('計測入力シート（ここのみ編集可）'!$AZ$17:$AZ$116,MATCH(A155&amp;B155,'計測入力シート（ここのみ編集可）'!$BO$17:$BO$116,0)),"")</f>
        <v/>
      </c>
      <c r="F162" s="116"/>
      <c r="G162" s="301" t="s">
        <v>111</v>
      </c>
      <c r="H162" s="302" t="str">
        <f t="array" ref="H162">IFERROR(INDEX('計測入力シート（ここのみ編集可）'!$BB$17:$BB$116,MATCH(A155&amp;B155,'計測入力シート（ここのみ編集可）'!$BO$17:$BO$116,0)),"")</f>
        <v/>
      </c>
    </row>
    <row r="163" ht="20.25" customHeight="1">
      <c r="D163" s="303" t="s">
        <v>112</v>
      </c>
      <c r="E163" s="304" t="str">
        <f t="array" ref="E163">IFERROR(INDEX('計測入力シート（ここのみ編集可）'!$BC$17:$BC$116,MATCH(A155&amp;B155,'計測入力シート（ここのみ編集可）'!$BO$17:$BO$116,0)),"")</f>
        <v/>
      </c>
      <c r="F163" s="305"/>
      <c r="G163" s="306" t="s">
        <v>25</v>
      </c>
      <c r="H163" s="307" t="str">
        <f t="array" ref="H163">IFERROR(INDEX('計測入力シート（ここのみ編集可）'!$BD$17:$BD$116,MATCH(A155&amp;B155,'計測入力シート（ここのみ編集可）'!$BO$17:$BO$116,0)),"")</f>
        <v/>
      </c>
    </row>
    <row r="164" ht="20.25" customHeight="1">
      <c r="D164" s="308"/>
    </row>
    <row r="165" ht="27.0" customHeight="1">
      <c r="A165" s="52" t="str">
        <f>A155</f>
        <v>D</v>
      </c>
      <c r="B165" s="52">
        <f>B155+1</f>
        <v>17</v>
      </c>
      <c r="D165" s="271" t="s">
        <v>80</v>
      </c>
      <c r="E165" s="272" t="s">
        <v>81</v>
      </c>
      <c r="F165" s="272" t="s">
        <v>82</v>
      </c>
      <c r="G165" s="273" t="s">
        <v>49</v>
      </c>
      <c r="H165" s="274"/>
    </row>
    <row r="166" ht="27.0" customHeight="1">
      <c r="A166" s="86"/>
      <c r="B166" s="86"/>
      <c r="D166" s="275" t="str">
        <f t="array" ref="D166">IFERROR(INDEX('計測入力シート（ここのみ編集可）'!$BN$17:$BN$116,MATCH(A165&amp;B165,'計測入力シート（ここのみ編集可）'!$BO$17:$BO$116,0)),"")</f>
        <v/>
      </c>
      <c r="E166" s="276" t="str">
        <f t="array" ref="E166">IFERROR(INDEX('計測入力シート（ここのみ編集可）'!$BP$17:$BP$116,MATCH(A165&amp;B165,'計測入力シート（ここのみ編集可）'!$BO$17:$BO$116,0)),"")</f>
        <v/>
      </c>
      <c r="F166" s="277" t="str">
        <f t="array" ref="F166">IFERROR(INDEX('計測入力シート（ここのみ編集可）'!$BR$17:$BR$116,MATCH(A165&amp;B165,'計測入力シート（ここのみ編集可）'!$BO$17:$BO$116,0)),"")</f>
        <v/>
      </c>
      <c r="G166" s="278" t="str">
        <f t="array" ref="G166">IFERROR(INDEX('計測入力シート（ここのみ編集可）'!$BL$17:$BL$116,MATCH(A165&amp;B165,'計測入力シート（ここのみ編集可）'!$BO$17:$BO$116,0)),"")</f>
        <v/>
      </c>
      <c r="H166" s="279"/>
    </row>
    <row r="167" ht="27.0" customHeight="1">
      <c r="D167" s="280" t="s">
        <v>2</v>
      </c>
      <c r="E167" s="281" t="str">
        <f t="array" ref="E167">IFERROR(INDEX('計測入力シート（ここのみ編集可）'!$C$17:$C$116,MATCH(A165&amp;B165,'計測入力シート（ここのみ編集可）'!$BO$17:$BO$116,0)),"")</f>
        <v/>
      </c>
      <c r="F167" s="282" t="s">
        <v>17</v>
      </c>
      <c r="G167" s="283" t="str">
        <f t="array" ref="G167">IFERROR(INDEX('計測入力シート（ここのみ編集可）'!$D$17:$D$116,MATCH(A165&amp;B165,'計測入力シート（ここのみ編集可）'!$BO$17:$BO$116,0)),"")</f>
        <v/>
      </c>
      <c r="H167" s="284"/>
    </row>
    <row r="168" ht="27.0" customHeight="1">
      <c r="D168" s="285" t="s">
        <v>1</v>
      </c>
      <c r="E168" s="286" t="str">
        <f t="array" ref="E168">IFERROR(INDEX('計測入力シート（ここのみ編集可）'!$B$17:$B$116,MATCH(A165&amp;B165,'計測入力シート（ここのみ編集可）'!$BO$17:$BO$116,0)),"")</f>
        <v/>
      </c>
      <c r="F168" s="287" t="s">
        <v>18</v>
      </c>
      <c r="G168" s="288" t="str">
        <f t="array" ref="G168">IFERROR(INDEX('計測入力シート（ここのみ編集可）'!$E$17:$E$116,MATCH(A165&amp;B165,'計測入力シート（ここのみ編集可）'!$BO$17:$BO$116,0)),"")</f>
        <v/>
      </c>
      <c r="H168" s="289"/>
    </row>
    <row r="169" ht="24.75" customHeight="1">
      <c r="D169" s="290" t="s">
        <v>92</v>
      </c>
      <c r="E169" s="291" t="str">
        <f t="array" ref="E169">IFERROR(INDEX(#REF!,MATCH(A165&amp;B165,'計測入力シート（ここのみ編集可）'!$BO$17:$BO$116,0)),"")</f>
        <v/>
      </c>
      <c r="H169" s="232"/>
    </row>
    <row r="170" ht="52.5" customHeight="1">
      <c r="D170" s="292" t="s">
        <v>100</v>
      </c>
      <c r="E170" s="293" t="str">
        <f t="array" ref="E170">IFERROR(INDEX(#REF!,MATCH(A165&amp;B165,'計測入力シート（ここのみ編集可）'!$BO$17:$BO$116,0)),"")</f>
        <v/>
      </c>
      <c r="F170" s="95"/>
      <c r="G170" s="95"/>
      <c r="H170" s="96"/>
    </row>
    <row r="171" ht="20.25" customHeight="1">
      <c r="D171" s="294" t="s">
        <v>39</v>
      </c>
      <c r="E171" s="295" t="str">
        <f t="array" ref="E171">IFERROR(INDEX('計測入力シート（ここのみ編集可）'!$AW$17:$AW$116,MATCH(A165&amp;B165,'計測入力シート（ここのみ編集可）'!$BO$17:$BO$116,0)),"")</f>
        <v/>
      </c>
      <c r="F171" s="296"/>
      <c r="G171" s="297" t="s">
        <v>110</v>
      </c>
      <c r="H171" s="298" t="str">
        <f t="array" ref="H171">IFERROR(INDEX('計測入力シート（ここのみ編集可）'!$AY$17:$AY$116,MATCH(A165&amp;B165,'計測入力シート（ここのみ編集可）'!$BO$17:$BO$116,0)),"")</f>
        <v/>
      </c>
    </row>
    <row r="172" ht="20.25" customHeight="1">
      <c r="D172" s="299" t="s">
        <v>42</v>
      </c>
      <c r="E172" s="300" t="str">
        <f t="array" ref="E172">IFERROR(INDEX('計測入力シート（ここのみ編集可）'!$AZ$17:$AZ$116,MATCH(A165&amp;B165,'計測入力シート（ここのみ編集可）'!$BO$17:$BO$116,0)),"")</f>
        <v/>
      </c>
      <c r="F172" s="116"/>
      <c r="G172" s="301" t="s">
        <v>111</v>
      </c>
      <c r="H172" s="302" t="str">
        <f t="array" ref="H172">IFERROR(INDEX('計測入力シート（ここのみ編集可）'!$BB$17:$BB$116,MATCH(A165&amp;B165,'計測入力シート（ここのみ編集可）'!$BO$17:$BO$116,0)),"")</f>
        <v/>
      </c>
    </row>
    <row r="173" ht="20.25" customHeight="1">
      <c r="D173" s="303" t="s">
        <v>112</v>
      </c>
      <c r="E173" s="304" t="str">
        <f t="array" ref="E173">IFERROR(INDEX('計測入力シート（ここのみ編集可）'!$BC$17:$BC$116,MATCH(A165&amp;B165,'計測入力シート（ここのみ編集可）'!$BO$17:$BO$116,0)),"")</f>
        <v/>
      </c>
      <c r="F173" s="305"/>
      <c r="G173" s="306" t="s">
        <v>25</v>
      </c>
      <c r="H173" s="307" t="str">
        <f t="array" ref="H173">IFERROR(INDEX('計測入力シート（ここのみ編集可）'!$BD$17:$BD$116,MATCH(A165&amp;B165,'計測入力シート（ここのみ編集可）'!$BO$17:$BO$116,0)),"")</f>
        <v/>
      </c>
    </row>
    <row r="174" ht="20.25" customHeight="1">
      <c r="D174" s="308"/>
    </row>
    <row r="175" ht="27.0" customHeight="1">
      <c r="A175" s="52" t="str">
        <f>A165</f>
        <v>D</v>
      </c>
      <c r="B175" s="52">
        <f>B165+1</f>
        <v>18</v>
      </c>
      <c r="D175" s="271" t="s">
        <v>80</v>
      </c>
      <c r="E175" s="272" t="s">
        <v>81</v>
      </c>
      <c r="F175" s="272" t="s">
        <v>82</v>
      </c>
      <c r="G175" s="273" t="s">
        <v>49</v>
      </c>
      <c r="H175" s="274"/>
    </row>
    <row r="176" ht="27.0" customHeight="1">
      <c r="A176" s="86"/>
      <c r="B176" s="86"/>
      <c r="D176" s="275" t="str">
        <f t="array" ref="D176">IFERROR(INDEX('計測入力シート（ここのみ編集可）'!$BN$17:$BN$116,MATCH(A175&amp;B175,'計測入力シート（ここのみ編集可）'!$BO$17:$BO$116,0)),"")</f>
        <v/>
      </c>
      <c r="E176" s="276" t="str">
        <f t="array" ref="E176">IFERROR(INDEX('計測入力シート（ここのみ編集可）'!$BP$17:$BP$116,MATCH(A175&amp;B175,'計測入力シート（ここのみ編集可）'!$BO$17:$BO$116,0)),"")</f>
        <v/>
      </c>
      <c r="F176" s="277" t="str">
        <f t="array" ref="F176">IFERROR(INDEX('計測入力シート（ここのみ編集可）'!$BR$17:$BR$116,MATCH(A175&amp;B175,'計測入力シート（ここのみ編集可）'!$BO$17:$BO$116,0)),"")</f>
        <v/>
      </c>
      <c r="G176" s="278" t="str">
        <f t="array" ref="G176">IFERROR(INDEX('計測入力シート（ここのみ編集可）'!$BL$17:$BL$116,MATCH(A175&amp;B175,'計測入力シート（ここのみ編集可）'!$BO$17:$BO$116,0)),"")</f>
        <v/>
      </c>
      <c r="H176" s="279"/>
    </row>
    <row r="177" ht="27.0" customHeight="1">
      <c r="D177" s="280" t="s">
        <v>2</v>
      </c>
      <c r="E177" s="281" t="str">
        <f t="array" ref="E177">IFERROR(INDEX('計測入力シート（ここのみ編集可）'!$C$17:$C$116,MATCH(A175&amp;B175,'計測入力シート（ここのみ編集可）'!$BO$17:$BO$116,0)),"")</f>
        <v/>
      </c>
      <c r="F177" s="282" t="s">
        <v>17</v>
      </c>
      <c r="G177" s="283" t="str">
        <f t="array" ref="G177">IFERROR(INDEX('計測入力シート（ここのみ編集可）'!$D$17:$D$116,MATCH(A175&amp;B175,'計測入力シート（ここのみ編集可）'!$BO$17:$BO$116,0)),"")</f>
        <v/>
      </c>
      <c r="H177" s="284"/>
    </row>
    <row r="178" ht="27.0" customHeight="1">
      <c r="D178" s="285" t="s">
        <v>1</v>
      </c>
      <c r="E178" s="286" t="str">
        <f t="array" ref="E178">IFERROR(INDEX('計測入力シート（ここのみ編集可）'!$B$17:$B$116,MATCH(A175&amp;B175,'計測入力シート（ここのみ編集可）'!$BO$17:$BO$116,0)),"")</f>
        <v/>
      </c>
      <c r="F178" s="287" t="s">
        <v>18</v>
      </c>
      <c r="G178" s="288" t="str">
        <f t="array" ref="G178">IFERROR(INDEX('計測入力シート（ここのみ編集可）'!$E$17:$E$116,MATCH(A175&amp;B175,'計測入力シート（ここのみ編集可）'!$BO$17:$BO$116,0)),"")</f>
        <v/>
      </c>
      <c r="H178" s="289"/>
    </row>
    <row r="179" ht="24.75" customHeight="1">
      <c r="D179" s="290" t="s">
        <v>92</v>
      </c>
      <c r="E179" s="291" t="str">
        <f t="array" ref="E179">IFERROR(INDEX(#REF!,MATCH(A175&amp;B175,'計測入力シート（ここのみ編集可）'!$BO$17:$BO$116,0)),"")</f>
        <v/>
      </c>
      <c r="H179" s="232"/>
    </row>
    <row r="180" ht="52.5" customHeight="1">
      <c r="D180" s="292" t="s">
        <v>100</v>
      </c>
      <c r="E180" s="293" t="str">
        <f t="array" ref="E180">IFERROR(INDEX(#REF!,MATCH(A175&amp;B175,'計測入力シート（ここのみ編集可）'!$BO$17:$BO$116,0)),"")</f>
        <v/>
      </c>
      <c r="F180" s="95"/>
      <c r="G180" s="95"/>
      <c r="H180" s="96"/>
    </row>
    <row r="181" ht="20.25" customHeight="1">
      <c r="D181" s="294" t="s">
        <v>39</v>
      </c>
      <c r="E181" s="295" t="str">
        <f t="array" ref="E181">IFERROR(INDEX('計測入力シート（ここのみ編集可）'!$AW$17:$AW$116,MATCH(A175&amp;B175,'計測入力シート（ここのみ編集可）'!$BO$17:$BO$116,0)),"")</f>
        <v/>
      </c>
      <c r="F181" s="296"/>
      <c r="G181" s="297" t="s">
        <v>110</v>
      </c>
      <c r="H181" s="298" t="str">
        <f t="array" ref="H181">IFERROR(INDEX('計測入力シート（ここのみ編集可）'!$AY$17:$AY$116,MATCH(A175&amp;B175,'計測入力シート（ここのみ編集可）'!$BO$17:$BO$116,0)),"")</f>
        <v/>
      </c>
    </row>
    <row r="182" ht="20.25" customHeight="1">
      <c r="D182" s="299" t="s">
        <v>42</v>
      </c>
      <c r="E182" s="300" t="str">
        <f t="array" ref="E182">IFERROR(INDEX('計測入力シート（ここのみ編集可）'!$AZ$17:$AZ$116,MATCH(A175&amp;B175,'計測入力シート（ここのみ編集可）'!$BO$17:$BO$116,0)),"")</f>
        <v/>
      </c>
      <c r="F182" s="116"/>
      <c r="G182" s="301" t="s">
        <v>111</v>
      </c>
      <c r="H182" s="302" t="str">
        <f t="array" ref="H182">IFERROR(INDEX('計測入力シート（ここのみ編集可）'!$BB$17:$BB$116,MATCH(A175&amp;B175,'計測入力シート（ここのみ編集可）'!$BO$17:$BO$116,0)),"")</f>
        <v/>
      </c>
    </row>
    <row r="183" ht="20.25" customHeight="1">
      <c r="D183" s="303" t="s">
        <v>112</v>
      </c>
      <c r="E183" s="304" t="str">
        <f t="array" ref="E183">IFERROR(INDEX('計測入力シート（ここのみ編集可）'!$BC$17:$BC$116,MATCH(A175&amp;B175,'計測入力シート（ここのみ編集可）'!$BO$17:$BO$116,0)),"")</f>
        <v/>
      </c>
      <c r="F183" s="305"/>
      <c r="G183" s="306" t="s">
        <v>25</v>
      </c>
      <c r="H183" s="307" t="str">
        <f t="array" ref="H183">IFERROR(INDEX('計測入力シート（ここのみ編集可）'!$BD$17:$BD$116,MATCH(A175&amp;B175,'計測入力シート（ここのみ編集可）'!$BO$17:$BO$116,0)),"")</f>
        <v/>
      </c>
    </row>
    <row r="184" ht="20.25" customHeight="1">
      <c r="D184" s="308"/>
    </row>
    <row r="185" ht="27.0" customHeight="1">
      <c r="A185" s="52" t="str">
        <f>A175</f>
        <v>D</v>
      </c>
      <c r="B185" s="52">
        <f>B175+1</f>
        <v>19</v>
      </c>
      <c r="D185" s="271" t="s">
        <v>80</v>
      </c>
      <c r="E185" s="272" t="s">
        <v>81</v>
      </c>
      <c r="F185" s="272" t="s">
        <v>82</v>
      </c>
      <c r="G185" s="273" t="s">
        <v>49</v>
      </c>
      <c r="H185" s="274"/>
    </row>
    <row r="186" ht="27.0" customHeight="1">
      <c r="A186" s="86"/>
      <c r="B186" s="86"/>
      <c r="D186" s="275" t="str">
        <f t="array" ref="D186">IFERROR(INDEX('計測入力シート（ここのみ編集可）'!$BN$17:$BN$116,MATCH(A185&amp;B185,'計測入力シート（ここのみ編集可）'!$BO$17:$BO$116,0)),"")</f>
        <v/>
      </c>
      <c r="E186" s="276" t="str">
        <f t="array" ref="E186">IFERROR(INDEX('計測入力シート（ここのみ編集可）'!$BP$17:$BP$116,MATCH(A185&amp;B185,'計測入力シート（ここのみ編集可）'!$BO$17:$BO$116,0)),"")</f>
        <v/>
      </c>
      <c r="F186" s="277" t="str">
        <f t="array" ref="F186">IFERROR(INDEX('計測入力シート（ここのみ編集可）'!$BR$17:$BR$116,MATCH(A185&amp;B185,'計測入力シート（ここのみ編集可）'!$BO$17:$BO$116,0)),"")</f>
        <v/>
      </c>
      <c r="G186" s="278" t="str">
        <f t="array" ref="G186">IFERROR(INDEX('計測入力シート（ここのみ編集可）'!$BL$17:$BL$116,MATCH(A185&amp;B185,'計測入力シート（ここのみ編集可）'!$BO$17:$BO$116,0)),"")</f>
        <v/>
      </c>
      <c r="H186" s="279"/>
    </row>
    <row r="187" ht="27.0" customHeight="1">
      <c r="D187" s="280" t="s">
        <v>2</v>
      </c>
      <c r="E187" s="281" t="str">
        <f t="array" ref="E187">IFERROR(INDEX('計測入力シート（ここのみ編集可）'!$C$17:$C$116,MATCH(A185&amp;B185,'計測入力シート（ここのみ編集可）'!$BO$17:$BO$116,0)),"")</f>
        <v/>
      </c>
      <c r="F187" s="282" t="s">
        <v>17</v>
      </c>
      <c r="G187" s="283" t="str">
        <f t="array" ref="G187">IFERROR(INDEX('計測入力シート（ここのみ編集可）'!$D$17:$D$116,MATCH(A185&amp;B185,'計測入力シート（ここのみ編集可）'!$BO$17:$BO$116,0)),"")</f>
        <v/>
      </c>
      <c r="H187" s="284"/>
    </row>
    <row r="188" ht="27.0" customHeight="1">
      <c r="D188" s="285" t="s">
        <v>1</v>
      </c>
      <c r="E188" s="286" t="str">
        <f t="array" ref="E188">IFERROR(INDEX('計測入力シート（ここのみ編集可）'!$B$17:$B$116,MATCH(A185&amp;B185,'計測入力シート（ここのみ編集可）'!$BO$17:$BO$116,0)),"")</f>
        <v/>
      </c>
      <c r="F188" s="287" t="s">
        <v>18</v>
      </c>
      <c r="G188" s="288" t="str">
        <f t="array" ref="G188">IFERROR(INDEX('計測入力シート（ここのみ編集可）'!$E$17:$E$116,MATCH(A185&amp;B185,'計測入力シート（ここのみ編集可）'!$BO$17:$BO$116,0)),"")</f>
        <v/>
      </c>
      <c r="H188" s="289"/>
    </row>
    <row r="189" ht="24.75" customHeight="1">
      <c r="D189" s="290" t="s">
        <v>92</v>
      </c>
      <c r="E189" s="291" t="str">
        <f t="array" ref="E189">IFERROR(INDEX(#REF!,MATCH(A185&amp;B185,'計測入力シート（ここのみ編集可）'!$BO$17:$BO$116,0)),"")</f>
        <v/>
      </c>
      <c r="H189" s="232"/>
    </row>
    <row r="190" ht="52.5" customHeight="1">
      <c r="D190" s="292" t="s">
        <v>100</v>
      </c>
      <c r="E190" s="293" t="str">
        <f t="array" ref="E190">IFERROR(INDEX(#REF!,MATCH(A185&amp;B185,'計測入力シート（ここのみ編集可）'!$BO$17:$BO$116,0)),"")</f>
        <v/>
      </c>
      <c r="F190" s="95"/>
      <c r="G190" s="95"/>
      <c r="H190" s="96"/>
    </row>
    <row r="191" ht="20.25" customHeight="1">
      <c r="D191" s="294" t="s">
        <v>39</v>
      </c>
      <c r="E191" s="295" t="str">
        <f t="array" ref="E191">IFERROR(INDEX('計測入力シート（ここのみ編集可）'!$AW$17:$AW$116,MATCH(A185&amp;B185,'計測入力シート（ここのみ編集可）'!$BO$17:$BO$116,0)),"")</f>
        <v/>
      </c>
      <c r="F191" s="296"/>
      <c r="G191" s="297" t="s">
        <v>110</v>
      </c>
      <c r="H191" s="298" t="str">
        <f t="array" ref="H191">IFERROR(INDEX('計測入力シート（ここのみ編集可）'!$AY$17:$AY$116,MATCH(A185&amp;B185,'計測入力シート（ここのみ編集可）'!$BO$17:$BO$116,0)),"")</f>
        <v/>
      </c>
    </row>
    <row r="192" ht="20.25" customHeight="1">
      <c r="D192" s="299" t="s">
        <v>42</v>
      </c>
      <c r="E192" s="300" t="str">
        <f t="array" ref="E192">IFERROR(INDEX('計測入力シート（ここのみ編集可）'!$AZ$17:$AZ$116,MATCH(A185&amp;B185,'計測入力シート（ここのみ編集可）'!$BO$17:$BO$116,0)),"")</f>
        <v/>
      </c>
      <c r="F192" s="116"/>
      <c r="G192" s="301" t="s">
        <v>111</v>
      </c>
      <c r="H192" s="302" t="str">
        <f t="array" ref="H192">IFERROR(INDEX('計測入力シート（ここのみ編集可）'!$BB$17:$BB$116,MATCH(A185&amp;B185,'計測入力シート（ここのみ編集可）'!$BO$17:$BO$116,0)),"")</f>
        <v/>
      </c>
    </row>
    <row r="193" ht="20.25" customHeight="1">
      <c r="D193" s="303" t="s">
        <v>112</v>
      </c>
      <c r="E193" s="304" t="str">
        <f t="array" ref="E193">IFERROR(INDEX('計測入力シート（ここのみ編集可）'!$BC$17:$BC$116,MATCH(A185&amp;B185,'計測入力シート（ここのみ編集可）'!$BO$17:$BO$116,0)),"")</f>
        <v/>
      </c>
      <c r="F193" s="305"/>
      <c r="G193" s="306" t="s">
        <v>25</v>
      </c>
      <c r="H193" s="307" t="str">
        <f t="array" ref="H193">IFERROR(INDEX('計測入力シート（ここのみ編集可）'!$BD$17:$BD$116,MATCH(A185&amp;B185,'計測入力シート（ここのみ編集可）'!$BO$17:$BO$116,0)),"")</f>
        <v/>
      </c>
    </row>
    <row r="194" ht="20.25" customHeight="1">
      <c r="D194" s="308"/>
    </row>
    <row r="195" ht="27.0" customHeight="1">
      <c r="A195" s="52" t="str">
        <f>A185</f>
        <v>D</v>
      </c>
      <c r="B195" s="52">
        <f>B185+1</f>
        <v>20</v>
      </c>
      <c r="D195" s="271" t="s">
        <v>80</v>
      </c>
      <c r="E195" s="272" t="s">
        <v>81</v>
      </c>
      <c r="F195" s="272" t="s">
        <v>82</v>
      </c>
      <c r="G195" s="273" t="s">
        <v>49</v>
      </c>
      <c r="H195" s="274"/>
    </row>
    <row r="196" ht="27.0" customHeight="1">
      <c r="A196" s="86"/>
      <c r="B196" s="86"/>
      <c r="D196" s="275" t="str">
        <f t="array" ref="D196">IFERROR(INDEX('計測入力シート（ここのみ編集可）'!$BN$17:$BN$116,MATCH(A195&amp;B195,'計測入力シート（ここのみ編集可）'!$BO$17:$BO$116,0)),"")</f>
        <v/>
      </c>
      <c r="E196" s="276" t="str">
        <f t="array" ref="E196">IFERROR(INDEX('計測入力シート（ここのみ編集可）'!$BP$17:$BP$116,MATCH(A195&amp;B195,'計測入力シート（ここのみ編集可）'!$BO$17:$BO$116,0)),"")</f>
        <v/>
      </c>
      <c r="F196" s="277" t="str">
        <f t="array" ref="F196">IFERROR(INDEX('計測入力シート（ここのみ編集可）'!$BR$17:$BR$116,MATCH(A195&amp;B195,'計測入力シート（ここのみ編集可）'!$BO$17:$BO$116,0)),"")</f>
        <v/>
      </c>
      <c r="G196" s="278" t="str">
        <f t="array" ref="G196">IFERROR(INDEX('計測入力シート（ここのみ編集可）'!$BL$17:$BL$116,MATCH(A195&amp;B195,'計測入力シート（ここのみ編集可）'!$BO$17:$BO$116,0)),"")</f>
        <v/>
      </c>
      <c r="H196" s="279"/>
    </row>
    <row r="197" ht="27.0" customHeight="1">
      <c r="D197" s="280" t="s">
        <v>2</v>
      </c>
      <c r="E197" s="281" t="str">
        <f t="array" ref="E197">IFERROR(INDEX('計測入力シート（ここのみ編集可）'!$C$17:$C$116,MATCH(A195&amp;B195,'計測入力シート（ここのみ編集可）'!$BO$17:$BO$116,0)),"")</f>
        <v/>
      </c>
      <c r="F197" s="282" t="s">
        <v>17</v>
      </c>
      <c r="G197" s="283" t="str">
        <f t="array" ref="G197">IFERROR(INDEX('計測入力シート（ここのみ編集可）'!$D$17:$D$116,MATCH(A195&amp;B195,'計測入力シート（ここのみ編集可）'!$BO$17:$BO$116,0)),"")</f>
        <v/>
      </c>
      <c r="H197" s="284"/>
    </row>
    <row r="198" ht="27.0" customHeight="1">
      <c r="D198" s="285" t="s">
        <v>1</v>
      </c>
      <c r="E198" s="286" t="str">
        <f t="array" ref="E198">IFERROR(INDEX('計測入力シート（ここのみ編集可）'!$B$17:$B$116,MATCH(A195&amp;B195,'計測入力シート（ここのみ編集可）'!$BO$17:$BO$116,0)),"")</f>
        <v/>
      </c>
      <c r="F198" s="287" t="s">
        <v>18</v>
      </c>
      <c r="G198" s="288" t="str">
        <f t="array" ref="G198">IFERROR(INDEX('計測入力シート（ここのみ編集可）'!$E$17:$E$116,MATCH(A195&amp;B195,'計測入力シート（ここのみ編集可）'!$BO$17:$BO$116,0)),"")</f>
        <v/>
      </c>
      <c r="H198" s="289"/>
    </row>
    <row r="199" ht="24.75" customHeight="1">
      <c r="D199" s="290" t="s">
        <v>92</v>
      </c>
      <c r="E199" s="291" t="str">
        <f t="array" ref="E199">IFERROR(INDEX(#REF!,MATCH(A195&amp;B195,'計測入力シート（ここのみ編集可）'!$BO$17:$BO$116,0)),"")</f>
        <v/>
      </c>
      <c r="H199" s="232"/>
    </row>
    <row r="200" ht="52.5" customHeight="1">
      <c r="D200" s="292" t="s">
        <v>100</v>
      </c>
      <c r="E200" s="293" t="str">
        <f t="array" ref="E200">IFERROR(INDEX(#REF!,MATCH(A195&amp;B195,'計測入力シート（ここのみ編集可）'!$BO$17:$BO$116,0)),"")</f>
        <v/>
      </c>
      <c r="F200" s="95"/>
      <c r="G200" s="95"/>
      <c r="H200" s="96"/>
    </row>
    <row r="201" ht="20.25" customHeight="1">
      <c r="D201" s="294" t="s">
        <v>39</v>
      </c>
      <c r="E201" s="295" t="str">
        <f t="array" ref="E201">IFERROR(INDEX('計測入力シート（ここのみ編集可）'!$AW$17:$AW$116,MATCH(A195&amp;B195,'計測入力シート（ここのみ編集可）'!$BO$17:$BO$116,0)),"")</f>
        <v/>
      </c>
      <c r="F201" s="296"/>
      <c r="G201" s="297" t="s">
        <v>110</v>
      </c>
      <c r="H201" s="298" t="str">
        <f t="array" ref="H201">IFERROR(INDEX('計測入力シート（ここのみ編集可）'!$AY$17:$AY$116,MATCH(A195&amp;B195,'計測入力シート（ここのみ編集可）'!$BO$17:$BO$116,0)),"")</f>
        <v/>
      </c>
    </row>
    <row r="202" ht="20.25" customHeight="1">
      <c r="D202" s="299" t="s">
        <v>42</v>
      </c>
      <c r="E202" s="300" t="str">
        <f t="array" ref="E202">IFERROR(INDEX('計測入力シート（ここのみ編集可）'!$AZ$17:$AZ$116,MATCH(A195&amp;B195,'計測入力シート（ここのみ編集可）'!$BO$17:$BO$116,0)),"")</f>
        <v/>
      </c>
      <c r="F202" s="116"/>
      <c r="G202" s="301" t="s">
        <v>111</v>
      </c>
      <c r="H202" s="302" t="str">
        <f t="array" ref="H202">IFERROR(INDEX('計測入力シート（ここのみ編集可）'!$BB$17:$BB$116,MATCH(A195&amp;B195,'計測入力シート（ここのみ編集可）'!$BO$17:$BO$116,0)),"")</f>
        <v/>
      </c>
    </row>
    <row r="203" ht="20.25" customHeight="1">
      <c r="D203" s="303" t="s">
        <v>112</v>
      </c>
      <c r="E203" s="304" t="str">
        <f t="array" ref="E203">IFERROR(INDEX('計測入力シート（ここのみ編集可）'!$BC$17:$BC$116,MATCH(A195&amp;B195,'計測入力シート（ここのみ編集可）'!$BO$17:$BO$116,0)),"")</f>
        <v/>
      </c>
      <c r="F203" s="305"/>
      <c r="G203" s="306" t="s">
        <v>25</v>
      </c>
      <c r="H203" s="307" t="str">
        <f t="array" ref="H203">IFERROR(INDEX('計測入力シート（ここのみ編集可）'!$BD$17:$BD$116,MATCH(A195&amp;B195,'計測入力シート（ここのみ編集可）'!$BO$17:$BO$116,0)),"")</f>
        <v/>
      </c>
    </row>
    <row r="204" ht="20.25" customHeight="1">
      <c r="D204" s="308"/>
    </row>
    <row r="205" ht="27.0" customHeight="1">
      <c r="A205" s="52" t="str">
        <f>A195</f>
        <v>D</v>
      </c>
      <c r="B205" s="52">
        <f>B195+1</f>
        <v>21</v>
      </c>
      <c r="D205" s="271" t="s">
        <v>80</v>
      </c>
      <c r="E205" s="272" t="s">
        <v>81</v>
      </c>
      <c r="F205" s="272" t="s">
        <v>82</v>
      </c>
      <c r="G205" s="273" t="s">
        <v>49</v>
      </c>
      <c r="H205" s="274"/>
    </row>
    <row r="206" ht="27.0" customHeight="1">
      <c r="A206" s="86"/>
      <c r="B206" s="86"/>
      <c r="D206" s="275" t="str">
        <f t="array" ref="D206">IFERROR(INDEX('計測入力シート（ここのみ編集可）'!$BN$17:$BN$116,MATCH(A205&amp;B205,'計測入力シート（ここのみ編集可）'!$BO$17:$BO$116,0)),"")</f>
        <v/>
      </c>
      <c r="E206" s="276" t="str">
        <f t="array" ref="E206">IFERROR(INDEX('計測入力シート（ここのみ編集可）'!$BP$17:$BP$116,MATCH(A205&amp;B205,'計測入力シート（ここのみ編集可）'!$BO$17:$BO$116,0)),"")</f>
        <v/>
      </c>
      <c r="F206" s="277" t="str">
        <f t="array" ref="F206">IFERROR(INDEX('計測入力シート（ここのみ編集可）'!$BR$17:$BR$116,MATCH(A205&amp;B205,'計測入力シート（ここのみ編集可）'!$BO$17:$BO$116,0)),"")</f>
        <v/>
      </c>
      <c r="G206" s="278" t="str">
        <f t="array" ref="G206">IFERROR(INDEX('計測入力シート（ここのみ編集可）'!$BL$17:$BL$116,MATCH(A205&amp;B205,'計測入力シート（ここのみ編集可）'!$BO$17:$BO$116,0)),"")</f>
        <v/>
      </c>
      <c r="H206" s="279"/>
    </row>
    <row r="207" ht="27.0" customHeight="1">
      <c r="D207" s="280" t="s">
        <v>2</v>
      </c>
      <c r="E207" s="281" t="str">
        <f t="array" ref="E207">IFERROR(INDEX('計測入力シート（ここのみ編集可）'!$C$17:$C$116,MATCH(A205&amp;B205,'計測入力シート（ここのみ編集可）'!$BO$17:$BO$116,0)),"")</f>
        <v/>
      </c>
      <c r="F207" s="282" t="s">
        <v>17</v>
      </c>
      <c r="G207" s="283" t="str">
        <f t="array" ref="G207">IFERROR(INDEX('計測入力シート（ここのみ編集可）'!$D$17:$D$116,MATCH(A205&amp;B205,'計測入力シート（ここのみ編集可）'!$BO$17:$BO$116,0)),"")</f>
        <v/>
      </c>
      <c r="H207" s="284"/>
    </row>
    <row r="208" ht="27.0" customHeight="1">
      <c r="D208" s="285" t="s">
        <v>1</v>
      </c>
      <c r="E208" s="286" t="str">
        <f t="array" ref="E208">IFERROR(INDEX('計測入力シート（ここのみ編集可）'!$B$17:$B$116,MATCH(A205&amp;B205,'計測入力シート（ここのみ編集可）'!$BO$17:$BO$116,0)),"")</f>
        <v/>
      </c>
      <c r="F208" s="287" t="s">
        <v>18</v>
      </c>
      <c r="G208" s="288" t="str">
        <f t="array" ref="G208">IFERROR(INDEX('計測入力シート（ここのみ編集可）'!$E$17:$E$116,MATCH(A205&amp;B205,'計測入力シート（ここのみ編集可）'!$BO$17:$BO$116,0)),"")</f>
        <v/>
      </c>
      <c r="H208" s="289"/>
    </row>
    <row r="209" ht="24.75" customHeight="1">
      <c r="D209" s="290" t="s">
        <v>92</v>
      </c>
      <c r="E209" s="291" t="str">
        <f t="array" ref="E209">IFERROR(INDEX(#REF!,MATCH(A205&amp;B205,'計測入力シート（ここのみ編集可）'!$BO$17:$BO$116,0)),"")</f>
        <v/>
      </c>
      <c r="H209" s="232"/>
    </row>
    <row r="210" ht="52.5" customHeight="1">
      <c r="D210" s="292" t="s">
        <v>100</v>
      </c>
      <c r="E210" s="293" t="str">
        <f t="array" ref="E210">IFERROR(INDEX(#REF!,MATCH(A205&amp;B205,'計測入力シート（ここのみ編集可）'!$BO$17:$BO$116,0)),"")</f>
        <v/>
      </c>
      <c r="F210" s="95"/>
      <c r="G210" s="95"/>
      <c r="H210" s="96"/>
    </row>
    <row r="211" ht="20.25" customHeight="1">
      <c r="D211" s="294" t="s">
        <v>39</v>
      </c>
      <c r="E211" s="295" t="str">
        <f t="array" ref="E211">IFERROR(INDEX('計測入力シート（ここのみ編集可）'!$AW$17:$AW$116,MATCH(A205&amp;B205,'計測入力シート（ここのみ編集可）'!$BO$17:$BO$116,0)),"")</f>
        <v/>
      </c>
      <c r="F211" s="296"/>
      <c r="G211" s="297" t="s">
        <v>110</v>
      </c>
      <c r="H211" s="298" t="str">
        <f t="array" ref="H211">IFERROR(INDEX('計測入力シート（ここのみ編集可）'!$AY$17:$AY$116,MATCH(A205&amp;B205,'計測入力シート（ここのみ編集可）'!$BO$17:$BO$116,0)),"")</f>
        <v/>
      </c>
    </row>
    <row r="212" ht="20.25" customHeight="1">
      <c r="D212" s="299" t="s">
        <v>42</v>
      </c>
      <c r="E212" s="300" t="str">
        <f t="array" ref="E212">IFERROR(INDEX('計測入力シート（ここのみ編集可）'!$AZ$17:$AZ$116,MATCH(A205&amp;B205,'計測入力シート（ここのみ編集可）'!$BO$17:$BO$116,0)),"")</f>
        <v/>
      </c>
      <c r="F212" s="116"/>
      <c r="G212" s="301" t="s">
        <v>111</v>
      </c>
      <c r="H212" s="302" t="str">
        <f t="array" ref="H212">IFERROR(INDEX('計測入力シート（ここのみ編集可）'!$BB$17:$BB$116,MATCH(A205&amp;B205,'計測入力シート（ここのみ編集可）'!$BO$17:$BO$116,0)),"")</f>
        <v/>
      </c>
    </row>
    <row r="213" ht="20.25" customHeight="1">
      <c r="D213" s="303" t="s">
        <v>112</v>
      </c>
      <c r="E213" s="304" t="str">
        <f t="array" ref="E213">IFERROR(INDEX('計測入力シート（ここのみ編集可）'!$BC$17:$BC$116,MATCH(A205&amp;B205,'計測入力シート（ここのみ編集可）'!$BO$17:$BO$116,0)),"")</f>
        <v/>
      </c>
      <c r="F213" s="305"/>
      <c r="G213" s="306" t="s">
        <v>25</v>
      </c>
      <c r="H213" s="307" t="str">
        <f t="array" ref="H213">IFERROR(INDEX('計測入力シート（ここのみ編集可）'!$BD$17:$BD$116,MATCH(A205&amp;B205,'計測入力シート（ここのみ編集可）'!$BO$17:$BO$116,0)),"")</f>
        <v/>
      </c>
    </row>
    <row r="214" ht="20.25" customHeight="1">
      <c r="D214" s="308"/>
    </row>
    <row r="215" ht="27.0" customHeight="1">
      <c r="A215" s="52" t="str">
        <f>A205</f>
        <v>D</v>
      </c>
      <c r="B215" s="52">
        <f>B205+1</f>
        <v>22</v>
      </c>
      <c r="D215" s="271" t="s">
        <v>80</v>
      </c>
      <c r="E215" s="272" t="s">
        <v>81</v>
      </c>
      <c r="F215" s="272" t="s">
        <v>82</v>
      </c>
      <c r="G215" s="273" t="s">
        <v>49</v>
      </c>
      <c r="H215" s="274"/>
    </row>
    <row r="216" ht="27.0" customHeight="1">
      <c r="A216" s="86"/>
      <c r="B216" s="86"/>
      <c r="D216" s="275" t="str">
        <f t="array" ref="D216">IFERROR(INDEX('計測入力シート（ここのみ編集可）'!$BN$17:$BN$116,MATCH(A215&amp;B215,'計測入力シート（ここのみ編集可）'!$BO$17:$BO$116,0)),"")</f>
        <v/>
      </c>
      <c r="E216" s="276" t="str">
        <f t="array" ref="E216">IFERROR(INDEX('計測入力シート（ここのみ編集可）'!$BP$17:$BP$116,MATCH(A215&amp;B215,'計測入力シート（ここのみ編集可）'!$BO$17:$BO$116,0)),"")</f>
        <v/>
      </c>
      <c r="F216" s="277" t="str">
        <f t="array" ref="F216">IFERROR(INDEX('計測入力シート（ここのみ編集可）'!$BR$17:$BR$116,MATCH(A215&amp;B215,'計測入力シート（ここのみ編集可）'!$BO$17:$BO$116,0)),"")</f>
        <v/>
      </c>
      <c r="G216" s="278" t="str">
        <f t="array" ref="G216">IFERROR(INDEX('計測入力シート（ここのみ編集可）'!$BL$17:$BL$116,MATCH(A215&amp;B215,'計測入力シート（ここのみ編集可）'!$BO$17:$BO$116,0)),"")</f>
        <v/>
      </c>
      <c r="H216" s="279"/>
    </row>
    <row r="217" ht="27.0" customHeight="1">
      <c r="D217" s="280" t="s">
        <v>2</v>
      </c>
      <c r="E217" s="281" t="str">
        <f t="array" ref="E217">IFERROR(INDEX('計測入力シート（ここのみ編集可）'!$C$17:$C$116,MATCH(A215&amp;B215,'計測入力シート（ここのみ編集可）'!$BO$17:$BO$116,0)),"")</f>
        <v/>
      </c>
      <c r="F217" s="282" t="s">
        <v>17</v>
      </c>
      <c r="G217" s="283" t="str">
        <f t="array" ref="G217">IFERROR(INDEX('計測入力シート（ここのみ編集可）'!$D$17:$D$116,MATCH(A215&amp;B215,'計測入力シート（ここのみ編集可）'!$BO$17:$BO$116,0)),"")</f>
        <v/>
      </c>
      <c r="H217" s="284"/>
    </row>
    <row r="218" ht="27.0" customHeight="1">
      <c r="D218" s="285" t="s">
        <v>1</v>
      </c>
      <c r="E218" s="286" t="str">
        <f t="array" ref="E218">IFERROR(INDEX('計測入力シート（ここのみ編集可）'!$B$17:$B$116,MATCH(A215&amp;B215,'計測入力シート（ここのみ編集可）'!$BO$17:$BO$116,0)),"")</f>
        <v/>
      </c>
      <c r="F218" s="287" t="s">
        <v>18</v>
      </c>
      <c r="G218" s="288" t="str">
        <f t="array" ref="G218">IFERROR(INDEX('計測入力シート（ここのみ編集可）'!$E$17:$E$116,MATCH(A215&amp;B215,'計測入力シート（ここのみ編集可）'!$BO$17:$BO$116,0)),"")</f>
        <v/>
      </c>
      <c r="H218" s="289"/>
    </row>
    <row r="219" ht="24.75" customHeight="1">
      <c r="D219" s="290" t="s">
        <v>92</v>
      </c>
      <c r="E219" s="291" t="str">
        <f t="array" ref="E219">IFERROR(INDEX(#REF!,MATCH(A215&amp;B215,'計測入力シート（ここのみ編集可）'!$BO$17:$BO$116,0)),"")</f>
        <v/>
      </c>
      <c r="H219" s="232"/>
    </row>
    <row r="220" ht="52.5" customHeight="1">
      <c r="D220" s="292" t="s">
        <v>100</v>
      </c>
      <c r="E220" s="293" t="str">
        <f t="array" ref="E220">IFERROR(INDEX(#REF!,MATCH(A215&amp;B215,'計測入力シート（ここのみ編集可）'!$BO$17:$BO$116,0)),"")</f>
        <v/>
      </c>
      <c r="F220" s="95"/>
      <c r="G220" s="95"/>
      <c r="H220" s="96"/>
    </row>
    <row r="221" ht="20.25" customHeight="1">
      <c r="D221" s="294" t="s">
        <v>39</v>
      </c>
      <c r="E221" s="295" t="str">
        <f t="array" ref="E221">IFERROR(INDEX('計測入力シート（ここのみ編集可）'!$AW$17:$AW$116,MATCH(A215&amp;B215,'計測入力シート（ここのみ編集可）'!$BO$17:$BO$116,0)),"")</f>
        <v/>
      </c>
      <c r="F221" s="296"/>
      <c r="G221" s="297" t="s">
        <v>110</v>
      </c>
      <c r="H221" s="298" t="str">
        <f t="array" ref="H221">IFERROR(INDEX('計測入力シート（ここのみ編集可）'!$AY$17:$AY$116,MATCH(A215&amp;B215,'計測入力シート（ここのみ編集可）'!$BO$17:$BO$116,0)),"")</f>
        <v/>
      </c>
    </row>
    <row r="222" ht="20.25" customHeight="1">
      <c r="D222" s="299" t="s">
        <v>42</v>
      </c>
      <c r="E222" s="300" t="str">
        <f t="array" ref="E222">IFERROR(INDEX('計測入力シート（ここのみ編集可）'!$AZ$17:$AZ$116,MATCH(A215&amp;B215,'計測入力シート（ここのみ編集可）'!$BO$17:$BO$116,0)),"")</f>
        <v/>
      </c>
      <c r="F222" s="116"/>
      <c r="G222" s="301" t="s">
        <v>111</v>
      </c>
      <c r="H222" s="302" t="str">
        <f t="array" ref="H222">IFERROR(INDEX('計測入力シート（ここのみ編集可）'!$BB$17:$BB$116,MATCH(A215&amp;B215,'計測入力シート（ここのみ編集可）'!$BO$17:$BO$116,0)),"")</f>
        <v/>
      </c>
    </row>
    <row r="223" ht="20.25" customHeight="1">
      <c r="D223" s="303" t="s">
        <v>112</v>
      </c>
      <c r="E223" s="304" t="str">
        <f t="array" ref="E223">IFERROR(INDEX('計測入力シート（ここのみ編集可）'!$BC$17:$BC$116,MATCH(A215&amp;B215,'計測入力シート（ここのみ編集可）'!$BO$17:$BO$116,0)),"")</f>
        <v/>
      </c>
      <c r="F223" s="305"/>
      <c r="G223" s="306" t="s">
        <v>25</v>
      </c>
      <c r="H223" s="307" t="str">
        <f t="array" ref="H223">IFERROR(INDEX('計測入力シート（ここのみ編集可）'!$BD$17:$BD$116,MATCH(A215&amp;B215,'計測入力シート（ここのみ編集可）'!$BO$17:$BO$116,0)),"")</f>
        <v/>
      </c>
    </row>
    <row r="224" ht="20.25" customHeight="1">
      <c r="D224" s="308"/>
    </row>
    <row r="225" ht="27.0" customHeight="1">
      <c r="A225" s="52" t="str">
        <f>A215</f>
        <v>D</v>
      </c>
      <c r="B225" s="52">
        <f>B215+1</f>
        <v>23</v>
      </c>
      <c r="D225" s="271" t="s">
        <v>80</v>
      </c>
      <c r="E225" s="272" t="s">
        <v>81</v>
      </c>
      <c r="F225" s="272" t="s">
        <v>82</v>
      </c>
      <c r="G225" s="273" t="s">
        <v>49</v>
      </c>
      <c r="H225" s="274"/>
    </row>
    <row r="226" ht="27.0" customHeight="1">
      <c r="A226" s="86"/>
      <c r="B226" s="86"/>
      <c r="D226" s="275" t="str">
        <f t="array" ref="D226">IFERROR(INDEX('計測入力シート（ここのみ編集可）'!$BN$17:$BN$116,MATCH(A225&amp;B225,'計測入力シート（ここのみ編集可）'!$BO$17:$BO$116,0)),"")</f>
        <v/>
      </c>
      <c r="E226" s="276" t="str">
        <f t="array" ref="E226">IFERROR(INDEX('計測入力シート（ここのみ編集可）'!$BP$17:$BP$116,MATCH(A225&amp;B225,'計測入力シート（ここのみ編集可）'!$BO$17:$BO$116,0)),"")</f>
        <v/>
      </c>
      <c r="F226" s="277" t="str">
        <f t="array" ref="F226">IFERROR(INDEX('計測入力シート（ここのみ編集可）'!$BR$17:$BR$116,MATCH(A225&amp;B225,'計測入力シート（ここのみ編集可）'!$BO$17:$BO$116,0)),"")</f>
        <v/>
      </c>
      <c r="G226" s="278" t="str">
        <f t="array" ref="G226">IFERROR(INDEX('計測入力シート（ここのみ編集可）'!$BL$17:$BL$116,MATCH(A225&amp;B225,'計測入力シート（ここのみ編集可）'!$BO$17:$BO$116,0)),"")</f>
        <v/>
      </c>
      <c r="H226" s="279"/>
    </row>
    <row r="227" ht="27.0" customHeight="1">
      <c r="D227" s="280" t="s">
        <v>2</v>
      </c>
      <c r="E227" s="281" t="str">
        <f t="array" ref="E227">IFERROR(INDEX('計測入力シート（ここのみ編集可）'!$C$17:$C$116,MATCH(A225&amp;B225,'計測入力シート（ここのみ編集可）'!$BO$17:$BO$116,0)),"")</f>
        <v/>
      </c>
      <c r="F227" s="282" t="s">
        <v>17</v>
      </c>
      <c r="G227" s="283" t="str">
        <f t="array" ref="G227">IFERROR(INDEX('計測入力シート（ここのみ編集可）'!$D$17:$D$116,MATCH(A225&amp;B225,'計測入力シート（ここのみ編集可）'!$BO$17:$BO$116,0)),"")</f>
        <v/>
      </c>
      <c r="H227" s="284"/>
    </row>
    <row r="228" ht="27.0" customHeight="1">
      <c r="D228" s="285" t="s">
        <v>1</v>
      </c>
      <c r="E228" s="286" t="str">
        <f t="array" ref="E228">IFERROR(INDEX('計測入力シート（ここのみ編集可）'!$B$17:$B$116,MATCH(A225&amp;B225,'計測入力シート（ここのみ編集可）'!$BO$17:$BO$116,0)),"")</f>
        <v/>
      </c>
      <c r="F228" s="287" t="s">
        <v>18</v>
      </c>
      <c r="G228" s="288" t="str">
        <f t="array" ref="G228">IFERROR(INDEX('計測入力シート（ここのみ編集可）'!$E$17:$E$116,MATCH(A225&amp;B225,'計測入力シート（ここのみ編集可）'!$BO$17:$BO$116,0)),"")</f>
        <v/>
      </c>
      <c r="H228" s="289"/>
    </row>
    <row r="229" ht="24.75" customHeight="1">
      <c r="D229" s="290" t="s">
        <v>92</v>
      </c>
      <c r="E229" s="291" t="str">
        <f t="array" ref="E229">IFERROR(INDEX(#REF!,MATCH(A225&amp;B225,'計測入力シート（ここのみ編集可）'!$BO$17:$BO$116,0)),"")</f>
        <v/>
      </c>
      <c r="H229" s="232"/>
    </row>
    <row r="230" ht="52.5" customHeight="1">
      <c r="D230" s="292" t="s">
        <v>100</v>
      </c>
      <c r="E230" s="293" t="str">
        <f t="array" ref="E230">IFERROR(INDEX(#REF!,MATCH(A225&amp;B225,'計測入力シート（ここのみ編集可）'!$BO$17:$BO$116,0)),"")</f>
        <v/>
      </c>
      <c r="F230" s="95"/>
      <c r="G230" s="95"/>
      <c r="H230" s="96"/>
    </row>
    <row r="231" ht="20.25" customHeight="1">
      <c r="D231" s="294" t="s">
        <v>39</v>
      </c>
      <c r="E231" s="295" t="str">
        <f t="array" ref="E231">IFERROR(INDEX('計測入力シート（ここのみ編集可）'!$AW$17:$AW$116,MATCH(A225&amp;B225,'計測入力シート（ここのみ編集可）'!$BO$17:$BO$116,0)),"")</f>
        <v/>
      </c>
      <c r="F231" s="296"/>
      <c r="G231" s="297" t="s">
        <v>110</v>
      </c>
      <c r="H231" s="298" t="str">
        <f t="array" ref="H231">IFERROR(INDEX('計測入力シート（ここのみ編集可）'!$AY$17:$AY$116,MATCH(A225&amp;B225,'計測入力シート（ここのみ編集可）'!$BO$17:$BO$116,0)),"")</f>
        <v/>
      </c>
    </row>
    <row r="232" ht="20.25" customHeight="1">
      <c r="D232" s="299" t="s">
        <v>42</v>
      </c>
      <c r="E232" s="300" t="str">
        <f t="array" ref="E232">IFERROR(INDEX('計測入力シート（ここのみ編集可）'!$AZ$17:$AZ$116,MATCH(A225&amp;B225,'計測入力シート（ここのみ編集可）'!$BO$17:$BO$116,0)),"")</f>
        <v/>
      </c>
      <c r="F232" s="116"/>
      <c r="G232" s="301" t="s">
        <v>111</v>
      </c>
      <c r="H232" s="302" t="str">
        <f t="array" ref="H232">IFERROR(INDEX('計測入力シート（ここのみ編集可）'!$BB$17:$BB$116,MATCH(A225&amp;B225,'計測入力シート（ここのみ編集可）'!$BO$17:$BO$116,0)),"")</f>
        <v/>
      </c>
    </row>
    <row r="233" ht="20.25" customHeight="1">
      <c r="D233" s="303" t="s">
        <v>112</v>
      </c>
      <c r="E233" s="304" t="str">
        <f t="array" ref="E233">IFERROR(INDEX('計測入力シート（ここのみ編集可）'!$BC$17:$BC$116,MATCH(A225&amp;B225,'計測入力シート（ここのみ編集可）'!$BO$17:$BO$116,0)),"")</f>
        <v/>
      </c>
      <c r="F233" s="305"/>
      <c r="G233" s="306" t="s">
        <v>25</v>
      </c>
      <c r="H233" s="307" t="str">
        <f t="array" ref="H233">IFERROR(INDEX('計測入力シート（ここのみ編集可）'!$BD$17:$BD$116,MATCH(A225&amp;B225,'計測入力シート（ここのみ編集可）'!$BO$17:$BO$116,0)),"")</f>
        <v/>
      </c>
    </row>
    <row r="234" ht="20.25" customHeight="1">
      <c r="D234" s="308"/>
    </row>
    <row r="235" ht="27.0" customHeight="1">
      <c r="A235" s="52" t="str">
        <f>A225</f>
        <v>D</v>
      </c>
      <c r="B235" s="52">
        <f>B225+1</f>
        <v>24</v>
      </c>
      <c r="D235" s="271" t="s">
        <v>80</v>
      </c>
      <c r="E235" s="272" t="s">
        <v>81</v>
      </c>
      <c r="F235" s="272" t="s">
        <v>82</v>
      </c>
      <c r="G235" s="273" t="s">
        <v>49</v>
      </c>
      <c r="H235" s="274"/>
    </row>
    <row r="236" ht="27.0" customHeight="1">
      <c r="A236" s="86"/>
      <c r="B236" s="86"/>
      <c r="D236" s="275" t="str">
        <f t="array" ref="D236">IFERROR(INDEX('計測入力シート（ここのみ編集可）'!$BN$17:$BN$116,MATCH(A235&amp;B235,'計測入力シート（ここのみ編集可）'!$BO$17:$BO$116,0)),"")</f>
        <v/>
      </c>
      <c r="E236" s="276" t="str">
        <f t="array" ref="E236">IFERROR(INDEX('計測入力シート（ここのみ編集可）'!$BP$17:$BP$116,MATCH(A235&amp;B235,'計測入力シート（ここのみ編集可）'!$BO$17:$BO$116,0)),"")</f>
        <v/>
      </c>
      <c r="F236" s="277" t="str">
        <f t="array" ref="F236">IFERROR(INDEX('計測入力シート（ここのみ編集可）'!$BR$17:$BR$116,MATCH(A235&amp;B235,'計測入力シート（ここのみ編集可）'!$BO$17:$BO$116,0)),"")</f>
        <v/>
      </c>
      <c r="G236" s="278" t="str">
        <f t="array" ref="G236">IFERROR(INDEX('計測入力シート（ここのみ編集可）'!$BL$17:$BL$116,MATCH(A235&amp;B235,'計測入力シート（ここのみ編集可）'!$BO$17:$BO$116,0)),"")</f>
        <v/>
      </c>
      <c r="H236" s="279"/>
    </row>
    <row r="237" ht="27.0" customHeight="1">
      <c r="D237" s="280" t="s">
        <v>2</v>
      </c>
      <c r="E237" s="281" t="str">
        <f t="array" ref="E237">IFERROR(INDEX('計測入力シート（ここのみ編集可）'!$C$17:$C$116,MATCH(A235&amp;B235,'計測入力シート（ここのみ編集可）'!$BO$17:$BO$116,0)),"")</f>
        <v/>
      </c>
      <c r="F237" s="282" t="s">
        <v>17</v>
      </c>
      <c r="G237" s="283" t="str">
        <f t="array" ref="G237">IFERROR(INDEX('計測入力シート（ここのみ編集可）'!$D$17:$D$116,MATCH(A235&amp;B235,'計測入力シート（ここのみ編集可）'!$BO$17:$BO$116,0)),"")</f>
        <v/>
      </c>
      <c r="H237" s="284"/>
    </row>
    <row r="238" ht="27.0" customHeight="1">
      <c r="D238" s="285" t="s">
        <v>1</v>
      </c>
      <c r="E238" s="286" t="str">
        <f t="array" ref="E238">IFERROR(INDEX('計測入力シート（ここのみ編集可）'!$B$17:$B$116,MATCH(A235&amp;B235,'計測入力シート（ここのみ編集可）'!$BO$17:$BO$116,0)),"")</f>
        <v/>
      </c>
      <c r="F238" s="287" t="s">
        <v>18</v>
      </c>
      <c r="G238" s="288" t="str">
        <f t="array" ref="G238">IFERROR(INDEX('計測入力シート（ここのみ編集可）'!$E$17:$E$116,MATCH(A235&amp;B235,'計測入力シート（ここのみ編集可）'!$BO$17:$BO$116,0)),"")</f>
        <v/>
      </c>
      <c r="H238" s="289"/>
    </row>
    <row r="239" ht="24.75" customHeight="1">
      <c r="D239" s="290" t="s">
        <v>92</v>
      </c>
      <c r="E239" s="291" t="str">
        <f t="array" ref="E239">IFERROR(INDEX(#REF!,MATCH(A235&amp;B235,'計測入力シート（ここのみ編集可）'!$BO$17:$BO$116,0)),"")</f>
        <v/>
      </c>
      <c r="H239" s="232"/>
    </row>
    <row r="240" ht="52.5" customHeight="1">
      <c r="D240" s="292" t="s">
        <v>100</v>
      </c>
      <c r="E240" s="293" t="str">
        <f t="array" ref="E240">IFERROR(INDEX(#REF!,MATCH(A235&amp;B235,'計測入力シート（ここのみ編集可）'!$BO$17:$BO$116,0)),"")</f>
        <v/>
      </c>
      <c r="F240" s="95"/>
      <c r="G240" s="95"/>
      <c r="H240" s="96"/>
    </row>
    <row r="241" ht="20.25" customHeight="1">
      <c r="D241" s="294" t="s">
        <v>39</v>
      </c>
      <c r="E241" s="295" t="str">
        <f t="array" ref="E241">IFERROR(INDEX('計測入力シート（ここのみ編集可）'!$AW$17:$AW$116,MATCH(A235&amp;B235,'計測入力シート（ここのみ編集可）'!$BO$17:$BO$116,0)),"")</f>
        <v/>
      </c>
      <c r="F241" s="296"/>
      <c r="G241" s="297" t="s">
        <v>110</v>
      </c>
      <c r="H241" s="298" t="str">
        <f t="array" ref="H241">IFERROR(INDEX('計測入力シート（ここのみ編集可）'!$AY$17:$AY$116,MATCH(A235&amp;B235,'計測入力シート（ここのみ編集可）'!$BO$17:$BO$116,0)),"")</f>
        <v/>
      </c>
    </row>
    <row r="242" ht="20.25" customHeight="1">
      <c r="D242" s="299" t="s">
        <v>42</v>
      </c>
      <c r="E242" s="300" t="str">
        <f t="array" ref="E242">IFERROR(INDEX('計測入力シート（ここのみ編集可）'!$AZ$17:$AZ$116,MATCH(A235&amp;B235,'計測入力シート（ここのみ編集可）'!$BO$17:$BO$116,0)),"")</f>
        <v/>
      </c>
      <c r="F242" s="116"/>
      <c r="G242" s="301" t="s">
        <v>111</v>
      </c>
      <c r="H242" s="302" t="str">
        <f t="array" ref="H242">IFERROR(INDEX('計測入力シート（ここのみ編集可）'!$BB$17:$BB$116,MATCH(A235&amp;B235,'計測入力シート（ここのみ編集可）'!$BO$17:$BO$116,0)),"")</f>
        <v/>
      </c>
    </row>
    <row r="243" ht="20.25" customHeight="1">
      <c r="D243" s="303" t="s">
        <v>112</v>
      </c>
      <c r="E243" s="304" t="str">
        <f t="array" ref="E243">IFERROR(INDEX('計測入力シート（ここのみ編集可）'!$BC$17:$BC$116,MATCH(A235&amp;B235,'計測入力シート（ここのみ編集可）'!$BO$17:$BO$116,0)),"")</f>
        <v/>
      </c>
      <c r="F243" s="305"/>
      <c r="G243" s="306" t="s">
        <v>25</v>
      </c>
      <c r="H243" s="307" t="str">
        <f t="array" ref="H243">IFERROR(INDEX('計測入力シート（ここのみ編集可）'!$BD$17:$BD$116,MATCH(A235&amp;B235,'計測入力シート（ここのみ編集可）'!$BO$17:$BO$116,0)),"")</f>
        <v/>
      </c>
    </row>
    <row r="244" ht="20.25" customHeight="1">
      <c r="D244" s="308"/>
    </row>
    <row r="245" ht="27.0" customHeight="1">
      <c r="A245" s="52" t="str">
        <f>A235</f>
        <v>D</v>
      </c>
      <c r="B245" s="52">
        <f>B235+1</f>
        <v>25</v>
      </c>
      <c r="D245" s="271" t="s">
        <v>80</v>
      </c>
      <c r="E245" s="272" t="s">
        <v>81</v>
      </c>
      <c r="F245" s="272" t="s">
        <v>82</v>
      </c>
      <c r="G245" s="273" t="s">
        <v>49</v>
      </c>
      <c r="H245" s="274"/>
    </row>
    <row r="246" ht="27.0" customHeight="1">
      <c r="A246" s="86"/>
      <c r="B246" s="86"/>
      <c r="D246" s="275" t="str">
        <f t="array" ref="D246">IFERROR(INDEX('計測入力シート（ここのみ編集可）'!$BN$17:$BN$116,MATCH(A245&amp;B245,'計測入力シート（ここのみ編集可）'!$BO$17:$BO$116,0)),"")</f>
        <v/>
      </c>
      <c r="E246" s="276" t="str">
        <f t="array" ref="E246">IFERROR(INDEX('計測入力シート（ここのみ編集可）'!$BP$17:$BP$116,MATCH(A245&amp;B245,'計測入力シート（ここのみ編集可）'!$BO$17:$BO$116,0)),"")</f>
        <v/>
      </c>
      <c r="F246" s="277" t="str">
        <f t="array" ref="F246">IFERROR(INDEX('計測入力シート（ここのみ編集可）'!$BR$17:$BR$116,MATCH(A245&amp;B245,'計測入力シート（ここのみ編集可）'!$BO$17:$BO$116,0)),"")</f>
        <v/>
      </c>
      <c r="G246" s="278" t="str">
        <f t="array" ref="G246">IFERROR(INDEX('計測入力シート（ここのみ編集可）'!$BL$17:$BL$116,MATCH(A245&amp;B245,'計測入力シート（ここのみ編集可）'!$BO$17:$BO$116,0)),"")</f>
        <v/>
      </c>
      <c r="H246" s="279"/>
    </row>
    <row r="247" ht="27.0" customHeight="1">
      <c r="D247" s="280" t="s">
        <v>2</v>
      </c>
      <c r="E247" s="281" t="str">
        <f t="array" ref="E247">IFERROR(INDEX('計測入力シート（ここのみ編集可）'!$C$17:$C$116,MATCH(A245&amp;B245,'計測入力シート（ここのみ編集可）'!$BO$17:$BO$116,0)),"")</f>
        <v/>
      </c>
      <c r="F247" s="282" t="s">
        <v>17</v>
      </c>
      <c r="G247" s="283" t="str">
        <f t="array" ref="G247">IFERROR(INDEX('計測入力シート（ここのみ編集可）'!$D$17:$D$116,MATCH(A245&amp;B245,'計測入力シート（ここのみ編集可）'!$BO$17:$BO$116,0)),"")</f>
        <v/>
      </c>
      <c r="H247" s="284"/>
    </row>
    <row r="248" ht="27.0" customHeight="1">
      <c r="D248" s="285" t="s">
        <v>1</v>
      </c>
      <c r="E248" s="286" t="str">
        <f t="array" ref="E248">IFERROR(INDEX('計測入力シート（ここのみ編集可）'!$B$17:$B$116,MATCH(A245&amp;B245,'計測入力シート（ここのみ編集可）'!$BO$17:$BO$116,0)),"")</f>
        <v/>
      </c>
      <c r="F248" s="287" t="s">
        <v>18</v>
      </c>
      <c r="G248" s="288" t="str">
        <f t="array" ref="G248">IFERROR(INDEX('計測入力シート（ここのみ編集可）'!$E$17:$E$116,MATCH(A245&amp;B245,'計測入力シート（ここのみ編集可）'!$BO$17:$BO$116,0)),"")</f>
        <v/>
      </c>
      <c r="H248" s="289"/>
    </row>
    <row r="249" ht="24.75" customHeight="1">
      <c r="D249" s="290" t="s">
        <v>92</v>
      </c>
      <c r="E249" s="291" t="str">
        <f t="array" ref="E249">IFERROR(INDEX(#REF!,MATCH(A245&amp;B245,'計測入力シート（ここのみ編集可）'!$BO$17:$BO$116,0)),"")</f>
        <v/>
      </c>
      <c r="H249" s="232"/>
    </row>
    <row r="250" ht="52.5" customHeight="1">
      <c r="D250" s="292" t="s">
        <v>100</v>
      </c>
      <c r="E250" s="293" t="str">
        <f t="array" ref="E250">IFERROR(INDEX(#REF!,MATCH(A245&amp;B245,'計測入力シート（ここのみ編集可）'!$BO$17:$BO$116,0)),"")</f>
        <v/>
      </c>
      <c r="F250" s="95"/>
      <c r="G250" s="95"/>
      <c r="H250" s="96"/>
    </row>
    <row r="251" ht="20.25" customHeight="1">
      <c r="D251" s="294" t="s">
        <v>39</v>
      </c>
      <c r="E251" s="295" t="str">
        <f t="array" ref="E251">IFERROR(INDEX('計測入力シート（ここのみ編集可）'!$AW$17:$AW$116,MATCH(A245&amp;B245,'計測入力シート（ここのみ編集可）'!$BO$17:$BO$116,0)),"")</f>
        <v/>
      </c>
      <c r="F251" s="296"/>
      <c r="G251" s="297" t="s">
        <v>110</v>
      </c>
      <c r="H251" s="298" t="str">
        <f t="array" ref="H251">IFERROR(INDEX('計測入力シート（ここのみ編集可）'!$AY$17:$AY$116,MATCH(A245&amp;B245,'計測入力シート（ここのみ編集可）'!$BO$17:$BO$116,0)),"")</f>
        <v/>
      </c>
    </row>
    <row r="252" ht="20.25" customHeight="1">
      <c r="D252" s="299" t="s">
        <v>42</v>
      </c>
      <c r="E252" s="300" t="str">
        <f t="array" ref="E252">IFERROR(INDEX('計測入力シート（ここのみ編集可）'!$AZ$17:$AZ$116,MATCH(A245&amp;B245,'計測入力シート（ここのみ編集可）'!$BO$17:$BO$116,0)),"")</f>
        <v/>
      </c>
      <c r="F252" s="116"/>
      <c r="G252" s="301" t="s">
        <v>111</v>
      </c>
      <c r="H252" s="302" t="str">
        <f t="array" ref="H252">IFERROR(INDEX('計測入力シート（ここのみ編集可）'!$BB$17:$BB$116,MATCH(A245&amp;B245,'計測入力シート（ここのみ編集可）'!$BO$17:$BO$116,0)),"")</f>
        <v/>
      </c>
    </row>
    <row r="253" ht="20.25" customHeight="1">
      <c r="D253" s="303" t="s">
        <v>112</v>
      </c>
      <c r="E253" s="304" t="str">
        <f t="array" ref="E253">IFERROR(INDEX('計測入力シート（ここのみ編集可）'!$BC$17:$BC$116,MATCH(A245&amp;B245,'計測入力シート（ここのみ編集可）'!$BO$17:$BO$116,0)),"")</f>
        <v/>
      </c>
      <c r="F253" s="305"/>
      <c r="G253" s="306" t="s">
        <v>25</v>
      </c>
      <c r="H253" s="307" t="str">
        <f t="array" ref="H253">IFERROR(INDEX('計測入力シート（ここのみ編集可）'!$BD$17:$BD$116,MATCH(A245&amp;B245,'計測入力シート（ここのみ編集可）'!$BO$17:$BO$116,0)),"")</f>
        <v/>
      </c>
    </row>
    <row r="254" ht="20.25" customHeight="1">
      <c r="D254" s="308"/>
    </row>
    <row r="255" ht="27.0" customHeight="1">
      <c r="A255" s="52" t="str">
        <f>A245</f>
        <v>D</v>
      </c>
      <c r="B255" s="52">
        <f>B245+1</f>
        <v>26</v>
      </c>
      <c r="D255" s="271" t="s">
        <v>80</v>
      </c>
      <c r="E255" s="272" t="s">
        <v>81</v>
      </c>
      <c r="F255" s="272" t="s">
        <v>82</v>
      </c>
      <c r="G255" s="273" t="s">
        <v>49</v>
      </c>
      <c r="H255" s="274"/>
    </row>
    <row r="256" ht="27.0" customHeight="1">
      <c r="A256" s="86"/>
      <c r="B256" s="86"/>
      <c r="D256" s="275" t="str">
        <f t="array" ref="D256">IFERROR(INDEX('計測入力シート（ここのみ編集可）'!$BN$17:$BN$116,MATCH(A255&amp;B255,'計測入力シート（ここのみ編集可）'!$BO$17:$BO$116,0)),"")</f>
        <v/>
      </c>
      <c r="E256" s="276" t="str">
        <f t="array" ref="E256">IFERROR(INDEX('計測入力シート（ここのみ編集可）'!$BP$17:$BP$116,MATCH(A255&amp;B255,'計測入力シート（ここのみ編集可）'!$BO$17:$BO$116,0)),"")</f>
        <v/>
      </c>
      <c r="F256" s="277" t="str">
        <f t="array" ref="F256">IFERROR(INDEX('計測入力シート（ここのみ編集可）'!$BR$17:$BR$116,MATCH(A255&amp;B255,'計測入力シート（ここのみ編集可）'!$BO$17:$BO$116,0)),"")</f>
        <v/>
      </c>
      <c r="G256" s="278" t="str">
        <f t="array" ref="G256">IFERROR(INDEX('計測入力シート（ここのみ編集可）'!$BL$17:$BL$116,MATCH(A255&amp;B255,'計測入力シート（ここのみ編集可）'!$BO$17:$BO$116,0)),"")</f>
        <v/>
      </c>
      <c r="H256" s="279"/>
    </row>
    <row r="257" ht="27.0" customHeight="1">
      <c r="D257" s="280" t="s">
        <v>2</v>
      </c>
      <c r="E257" s="281" t="str">
        <f t="array" ref="E257">IFERROR(INDEX('計測入力シート（ここのみ編集可）'!$C$17:$C$116,MATCH(A255&amp;B255,'計測入力シート（ここのみ編集可）'!$BO$17:$BO$116,0)),"")</f>
        <v/>
      </c>
      <c r="F257" s="282" t="s">
        <v>17</v>
      </c>
      <c r="G257" s="283" t="str">
        <f t="array" ref="G257">IFERROR(INDEX('計測入力シート（ここのみ編集可）'!$D$17:$D$116,MATCH(A255&amp;B255,'計測入力シート（ここのみ編集可）'!$BO$17:$BO$116,0)),"")</f>
        <v/>
      </c>
      <c r="H257" s="284"/>
    </row>
    <row r="258" ht="27.0" customHeight="1">
      <c r="D258" s="285" t="s">
        <v>1</v>
      </c>
      <c r="E258" s="286" t="str">
        <f t="array" ref="E258">IFERROR(INDEX('計測入力シート（ここのみ編集可）'!$B$17:$B$116,MATCH(A255&amp;B255,'計測入力シート（ここのみ編集可）'!$BO$17:$BO$116,0)),"")</f>
        <v/>
      </c>
      <c r="F258" s="287" t="s">
        <v>18</v>
      </c>
      <c r="G258" s="288" t="str">
        <f t="array" ref="G258">IFERROR(INDEX('計測入力シート（ここのみ編集可）'!$E$17:$E$116,MATCH(A255&amp;B255,'計測入力シート（ここのみ編集可）'!$BO$17:$BO$116,0)),"")</f>
        <v/>
      </c>
      <c r="H258" s="289"/>
    </row>
    <row r="259" ht="24.75" customHeight="1">
      <c r="D259" s="290" t="s">
        <v>92</v>
      </c>
      <c r="E259" s="291" t="str">
        <f t="array" ref="E259">IFERROR(INDEX(#REF!,MATCH(A255&amp;B255,'計測入力シート（ここのみ編集可）'!$BO$17:$BO$116,0)),"")</f>
        <v/>
      </c>
      <c r="H259" s="232"/>
    </row>
    <row r="260" ht="52.5" customHeight="1">
      <c r="D260" s="292" t="s">
        <v>100</v>
      </c>
      <c r="E260" s="293" t="str">
        <f t="array" ref="E260">IFERROR(INDEX(#REF!,MATCH(A255&amp;B255,'計測入力シート（ここのみ編集可）'!$BO$17:$BO$116,0)),"")</f>
        <v/>
      </c>
      <c r="F260" s="95"/>
      <c r="G260" s="95"/>
      <c r="H260" s="96"/>
    </row>
    <row r="261" ht="20.25" customHeight="1">
      <c r="D261" s="294" t="s">
        <v>39</v>
      </c>
      <c r="E261" s="295" t="str">
        <f t="array" ref="E261">IFERROR(INDEX('計測入力シート（ここのみ編集可）'!$AW$17:$AW$116,MATCH(A255&amp;B255,'計測入力シート（ここのみ編集可）'!$BO$17:$BO$116,0)),"")</f>
        <v/>
      </c>
      <c r="F261" s="296"/>
      <c r="G261" s="297" t="s">
        <v>110</v>
      </c>
      <c r="H261" s="298" t="str">
        <f t="array" ref="H261">IFERROR(INDEX('計測入力シート（ここのみ編集可）'!$AY$17:$AY$116,MATCH(A255&amp;B255,'計測入力シート（ここのみ編集可）'!$BO$17:$BO$116,0)),"")</f>
        <v/>
      </c>
    </row>
    <row r="262" ht="20.25" customHeight="1">
      <c r="D262" s="299" t="s">
        <v>42</v>
      </c>
      <c r="E262" s="300" t="str">
        <f t="array" ref="E262">IFERROR(INDEX('計測入力シート（ここのみ編集可）'!$AZ$17:$AZ$116,MATCH(A255&amp;B255,'計測入力シート（ここのみ編集可）'!$BO$17:$BO$116,0)),"")</f>
        <v/>
      </c>
      <c r="F262" s="116"/>
      <c r="G262" s="301" t="s">
        <v>111</v>
      </c>
      <c r="H262" s="302" t="str">
        <f t="array" ref="H262">IFERROR(INDEX('計測入力シート（ここのみ編集可）'!$BB$17:$BB$116,MATCH(A255&amp;B255,'計測入力シート（ここのみ編集可）'!$BO$17:$BO$116,0)),"")</f>
        <v/>
      </c>
    </row>
    <row r="263" ht="20.25" customHeight="1">
      <c r="D263" s="303" t="s">
        <v>112</v>
      </c>
      <c r="E263" s="304" t="str">
        <f t="array" ref="E263">IFERROR(INDEX('計測入力シート（ここのみ編集可）'!$BC$17:$BC$116,MATCH(A255&amp;B255,'計測入力シート（ここのみ編集可）'!$BO$17:$BO$116,0)),"")</f>
        <v/>
      </c>
      <c r="F263" s="305"/>
      <c r="G263" s="306" t="s">
        <v>25</v>
      </c>
      <c r="H263" s="307" t="str">
        <f t="array" ref="H263">IFERROR(INDEX('計測入力シート（ここのみ編集可）'!$BD$17:$BD$116,MATCH(A255&amp;B255,'計測入力シート（ここのみ編集可）'!$BO$17:$BO$116,0)),"")</f>
        <v/>
      </c>
    </row>
    <row r="264" ht="20.25" customHeight="1">
      <c r="D264" s="308"/>
    </row>
    <row r="265" ht="27.0" customHeight="1">
      <c r="A265" s="52" t="str">
        <f>A255</f>
        <v>D</v>
      </c>
      <c r="B265" s="52">
        <f>B255+1</f>
        <v>27</v>
      </c>
      <c r="D265" s="271" t="s">
        <v>80</v>
      </c>
      <c r="E265" s="272" t="s">
        <v>81</v>
      </c>
      <c r="F265" s="272" t="s">
        <v>82</v>
      </c>
      <c r="G265" s="273" t="s">
        <v>49</v>
      </c>
      <c r="H265" s="274"/>
    </row>
    <row r="266" ht="27.0" customHeight="1">
      <c r="A266" s="86"/>
      <c r="B266" s="86"/>
      <c r="D266" s="275" t="str">
        <f t="array" ref="D266">IFERROR(INDEX('計測入力シート（ここのみ編集可）'!$BN$17:$BN$116,MATCH(A265&amp;B265,'計測入力シート（ここのみ編集可）'!$BO$17:$BO$116,0)),"")</f>
        <v/>
      </c>
      <c r="E266" s="276" t="str">
        <f t="array" ref="E266">IFERROR(INDEX('計測入力シート（ここのみ編集可）'!$BP$17:$BP$116,MATCH(A265&amp;B265,'計測入力シート（ここのみ編集可）'!$BO$17:$BO$116,0)),"")</f>
        <v/>
      </c>
      <c r="F266" s="277" t="str">
        <f t="array" ref="F266">IFERROR(INDEX('計測入力シート（ここのみ編集可）'!$BR$17:$BR$116,MATCH(A265&amp;B265,'計測入力シート（ここのみ編集可）'!$BO$17:$BO$116,0)),"")</f>
        <v/>
      </c>
      <c r="G266" s="278" t="str">
        <f t="array" ref="G266">IFERROR(INDEX('計測入力シート（ここのみ編集可）'!$BL$17:$BL$116,MATCH(A265&amp;B265,'計測入力シート（ここのみ編集可）'!$BO$17:$BO$116,0)),"")</f>
        <v/>
      </c>
      <c r="H266" s="279"/>
    </row>
    <row r="267" ht="27.0" customHeight="1">
      <c r="D267" s="280" t="s">
        <v>2</v>
      </c>
      <c r="E267" s="281" t="str">
        <f t="array" ref="E267">IFERROR(INDEX('計測入力シート（ここのみ編集可）'!$C$17:$C$116,MATCH(A265&amp;B265,'計測入力シート（ここのみ編集可）'!$BO$17:$BO$116,0)),"")</f>
        <v/>
      </c>
      <c r="F267" s="282" t="s">
        <v>17</v>
      </c>
      <c r="G267" s="283" t="str">
        <f t="array" ref="G267">IFERROR(INDEX('計測入力シート（ここのみ編集可）'!$D$17:$D$116,MATCH(A265&amp;B265,'計測入力シート（ここのみ編集可）'!$BO$17:$BO$116,0)),"")</f>
        <v/>
      </c>
      <c r="H267" s="284"/>
    </row>
    <row r="268" ht="27.0" customHeight="1">
      <c r="D268" s="285" t="s">
        <v>1</v>
      </c>
      <c r="E268" s="286" t="str">
        <f t="array" ref="E268">IFERROR(INDEX('計測入力シート（ここのみ編集可）'!$B$17:$B$116,MATCH(A265&amp;B265,'計測入力シート（ここのみ編集可）'!$BO$17:$BO$116,0)),"")</f>
        <v/>
      </c>
      <c r="F268" s="287" t="s">
        <v>18</v>
      </c>
      <c r="G268" s="288" t="str">
        <f t="array" ref="G268">IFERROR(INDEX('計測入力シート（ここのみ編集可）'!$E$17:$E$116,MATCH(A265&amp;B265,'計測入力シート（ここのみ編集可）'!$BO$17:$BO$116,0)),"")</f>
        <v/>
      </c>
      <c r="H268" s="289"/>
    </row>
    <row r="269" ht="24.75" customHeight="1">
      <c r="D269" s="290" t="s">
        <v>92</v>
      </c>
      <c r="E269" s="291" t="str">
        <f t="array" ref="E269">IFERROR(INDEX(#REF!,MATCH(A265&amp;B265,'計測入力シート（ここのみ編集可）'!$BO$17:$BO$116,0)),"")</f>
        <v/>
      </c>
      <c r="H269" s="232"/>
    </row>
    <row r="270" ht="52.5" customHeight="1">
      <c r="D270" s="292" t="s">
        <v>100</v>
      </c>
      <c r="E270" s="293" t="str">
        <f t="array" ref="E270">IFERROR(INDEX(#REF!,MATCH(A265&amp;B265,'計測入力シート（ここのみ編集可）'!$BO$17:$BO$116,0)),"")</f>
        <v/>
      </c>
      <c r="F270" s="95"/>
      <c r="G270" s="95"/>
      <c r="H270" s="96"/>
    </row>
    <row r="271" ht="20.25" customHeight="1">
      <c r="D271" s="294" t="s">
        <v>39</v>
      </c>
      <c r="E271" s="295" t="str">
        <f t="array" ref="E271">IFERROR(INDEX('計測入力シート（ここのみ編集可）'!$AW$17:$AW$116,MATCH(A265&amp;B265,'計測入力シート（ここのみ編集可）'!$BO$17:$BO$116,0)),"")</f>
        <v/>
      </c>
      <c r="F271" s="296"/>
      <c r="G271" s="297" t="s">
        <v>110</v>
      </c>
      <c r="H271" s="298" t="str">
        <f t="array" ref="H271">IFERROR(INDEX('計測入力シート（ここのみ編集可）'!$AY$17:$AY$116,MATCH(A265&amp;B265,'計測入力シート（ここのみ編集可）'!$BO$17:$BO$116,0)),"")</f>
        <v/>
      </c>
    </row>
    <row r="272" ht="20.25" customHeight="1">
      <c r="D272" s="299" t="s">
        <v>42</v>
      </c>
      <c r="E272" s="300" t="str">
        <f t="array" ref="E272">IFERROR(INDEX('計測入力シート（ここのみ編集可）'!$AZ$17:$AZ$116,MATCH(A265&amp;B265,'計測入力シート（ここのみ編集可）'!$BO$17:$BO$116,0)),"")</f>
        <v/>
      </c>
      <c r="F272" s="116"/>
      <c r="G272" s="301" t="s">
        <v>111</v>
      </c>
      <c r="H272" s="302" t="str">
        <f t="array" ref="H272">IFERROR(INDEX('計測入力シート（ここのみ編集可）'!$BB$17:$BB$116,MATCH(A265&amp;B265,'計測入力シート（ここのみ編集可）'!$BO$17:$BO$116,0)),"")</f>
        <v/>
      </c>
    </row>
    <row r="273" ht="20.25" customHeight="1">
      <c r="D273" s="303" t="s">
        <v>112</v>
      </c>
      <c r="E273" s="304" t="str">
        <f t="array" ref="E273">IFERROR(INDEX('計測入力シート（ここのみ編集可）'!$BC$17:$BC$116,MATCH(A265&amp;B265,'計測入力シート（ここのみ編集可）'!$BO$17:$BO$116,0)),"")</f>
        <v/>
      </c>
      <c r="F273" s="305"/>
      <c r="G273" s="306" t="s">
        <v>25</v>
      </c>
      <c r="H273" s="307" t="str">
        <f t="array" ref="H273">IFERROR(INDEX('計測入力シート（ここのみ編集可）'!$BD$17:$BD$116,MATCH(A265&amp;B265,'計測入力シート（ここのみ編集可）'!$BO$17:$BO$116,0)),"")</f>
        <v/>
      </c>
    </row>
    <row r="274" ht="20.25" customHeight="1">
      <c r="D274" s="308"/>
    </row>
    <row r="275" ht="27.0" customHeight="1">
      <c r="A275" s="52" t="str">
        <f>A265</f>
        <v>D</v>
      </c>
      <c r="B275" s="52">
        <f>B265+1</f>
        <v>28</v>
      </c>
      <c r="D275" s="271" t="s">
        <v>80</v>
      </c>
      <c r="E275" s="272" t="s">
        <v>81</v>
      </c>
      <c r="F275" s="272" t="s">
        <v>82</v>
      </c>
      <c r="G275" s="273" t="s">
        <v>49</v>
      </c>
      <c r="H275" s="274"/>
    </row>
    <row r="276" ht="27.0" customHeight="1">
      <c r="A276" s="86"/>
      <c r="B276" s="86"/>
      <c r="D276" s="275" t="str">
        <f t="array" ref="D276">IFERROR(INDEX('計測入力シート（ここのみ編集可）'!$BN$17:$BN$116,MATCH(A275&amp;B275,'計測入力シート（ここのみ編集可）'!$BO$17:$BO$116,0)),"")</f>
        <v/>
      </c>
      <c r="E276" s="276" t="str">
        <f t="array" ref="E276">IFERROR(INDEX('計測入力シート（ここのみ編集可）'!$BP$17:$BP$116,MATCH(A275&amp;B275,'計測入力シート（ここのみ編集可）'!$BO$17:$BO$116,0)),"")</f>
        <v/>
      </c>
      <c r="F276" s="277" t="str">
        <f t="array" ref="F276">IFERROR(INDEX('計測入力シート（ここのみ編集可）'!$BR$17:$BR$116,MATCH(A275&amp;B275,'計測入力シート（ここのみ編集可）'!$BO$17:$BO$116,0)),"")</f>
        <v/>
      </c>
      <c r="G276" s="278" t="str">
        <f t="array" ref="G276">IFERROR(INDEX('計測入力シート（ここのみ編集可）'!$BL$17:$BL$116,MATCH(A275&amp;B275,'計測入力シート（ここのみ編集可）'!$BO$17:$BO$116,0)),"")</f>
        <v/>
      </c>
      <c r="H276" s="279"/>
    </row>
    <row r="277" ht="27.0" customHeight="1">
      <c r="D277" s="280" t="s">
        <v>2</v>
      </c>
      <c r="E277" s="281" t="str">
        <f t="array" ref="E277">IFERROR(INDEX('計測入力シート（ここのみ編集可）'!$C$17:$C$116,MATCH(A275&amp;B275,'計測入力シート（ここのみ編集可）'!$BO$17:$BO$116,0)),"")</f>
        <v/>
      </c>
      <c r="F277" s="282" t="s">
        <v>17</v>
      </c>
      <c r="G277" s="283" t="str">
        <f t="array" ref="G277">IFERROR(INDEX('計測入力シート（ここのみ編集可）'!$D$17:$D$116,MATCH(A275&amp;B275,'計測入力シート（ここのみ編集可）'!$BO$17:$BO$116,0)),"")</f>
        <v/>
      </c>
      <c r="H277" s="284"/>
    </row>
    <row r="278" ht="27.0" customHeight="1">
      <c r="D278" s="285" t="s">
        <v>1</v>
      </c>
      <c r="E278" s="286" t="str">
        <f t="array" ref="E278">IFERROR(INDEX('計測入力シート（ここのみ編集可）'!$B$17:$B$116,MATCH(A275&amp;B275,'計測入力シート（ここのみ編集可）'!$BO$17:$BO$116,0)),"")</f>
        <v/>
      </c>
      <c r="F278" s="287" t="s">
        <v>18</v>
      </c>
      <c r="G278" s="288" t="str">
        <f t="array" ref="G278">IFERROR(INDEX('計測入力シート（ここのみ編集可）'!$E$17:$E$116,MATCH(A275&amp;B275,'計測入力シート（ここのみ編集可）'!$BO$17:$BO$116,0)),"")</f>
        <v/>
      </c>
      <c r="H278" s="289"/>
    </row>
    <row r="279" ht="24.75" customHeight="1">
      <c r="D279" s="290" t="s">
        <v>92</v>
      </c>
      <c r="E279" s="291" t="str">
        <f t="array" ref="E279">IFERROR(INDEX(#REF!,MATCH(A275&amp;B275,'計測入力シート（ここのみ編集可）'!$BO$17:$BO$116,0)),"")</f>
        <v/>
      </c>
      <c r="H279" s="232"/>
    </row>
    <row r="280" ht="52.5" customHeight="1">
      <c r="D280" s="292" t="s">
        <v>100</v>
      </c>
      <c r="E280" s="293" t="str">
        <f t="array" ref="E280">IFERROR(INDEX(#REF!,MATCH(A275&amp;B275,'計測入力シート（ここのみ編集可）'!$BO$17:$BO$116,0)),"")</f>
        <v/>
      </c>
      <c r="F280" s="95"/>
      <c r="G280" s="95"/>
      <c r="H280" s="96"/>
    </row>
    <row r="281" ht="20.25" customHeight="1">
      <c r="D281" s="294" t="s">
        <v>39</v>
      </c>
      <c r="E281" s="295" t="str">
        <f t="array" ref="E281">IFERROR(INDEX('計測入力シート（ここのみ編集可）'!$AW$17:$AW$116,MATCH(A275&amp;B275,'計測入力シート（ここのみ編集可）'!$BO$17:$BO$116,0)),"")</f>
        <v/>
      </c>
      <c r="F281" s="296"/>
      <c r="G281" s="297" t="s">
        <v>110</v>
      </c>
      <c r="H281" s="298" t="str">
        <f t="array" ref="H281">IFERROR(INDEX('計測入力シート（ここのみ編集可）'!$AY$17:$AY$116,MATCH(A275&amp;B275,'計測入力シート（ここのみ編集可）'!$BO$17:$BO$116,0)),"")</f>
        <v/>
      </c>
    </row>
    <row r="282" ht="20.25" customHeight="1">
      <c r="D282" s="299" t="s">
        <v>42</v>
      </c>
      <c r="E282" s="300" t="str">
        <f t="array" ref="E282">IFERROR(INDEX('計測入力シート（ここのみ編集可）'!$AZ$17:$AZ$116,MATCH(A275&amp;B275,'計測入力シート（ここのみ編集可）'!$BO$17:$BO$116,0)),"")</f>
        <v/>
      </c>
      <c r="F282" s="116"/>
      <c r="G282" s="301" t="s">
        <v>111</v>
      </c>
      <c r="H282" s="302" t="str">
        <f t="array" ref="H282">IFERROR(INDEX('計測入力シート（ここのみ編集可）'!$BB$17:$BB$116,MATCH(A275&amp;B275,'計測入力シート（ここのみ編集可）'!$BO$17:$BO$116,0)),"")</f>
        <v/>
      </c>
    </row>
    <row r="283" ht="20.25" customHeight="1">
      <c r="D283" s="303" t="s">
        <v>112</v>
      </c>
      <c r="E283" s="304" t="str">
        <f t="array" ref="E283">IFERROR(INDEX('計測入力シート（ここのみ編集可）'!$BC$17:$BC$116,MATCH(A275&amp;B275,'計測入力シート（ここのみ編集可）'!$BO$17:$BO$116,0)),"")</f>
        <v/>
      </c>
      <c r="F283" s="305"/>
      <c r="G283" s="306" t="s">
        <v>25</v>
      </c>
      <c r="H283" s="307" t="str">
        <f t="array" ref="H283">IFERROR(INDEX('計測入力シート（ここのみ編集可）'!$BD$17:$BD$116,MATCH(A275&amp;B275,'計測入力シート（ここのみ編集可）'!$BO$17:$BO$116,0)),"")</f>
        <v/>
      </c>
    </row>
    <row r="284" ht="20.25" customHeight="1">
      <c r="D284" s="308"/>
    </row>
    <row r="285" ht="27.0" customHeight="1">
      <c r="A285" s="52" t="str">
        <f>A275</f>
        <v>D</v>
      </c>
      <c r="B285" s="52">
        <f>B275+1</f>
        <v>29</v>
      </c>
      <c r="D285" s="271" t="s">
        <v>80</v>
      </c>
      <c r="E285" s="272" t="s">
        <v>81</v>
      </c>
      <c r="F285" s="272" t="s">
        <v>82</v>
      </c>
      <c r="G285" s="273" t="s">
        <v>49</v>
      </c>
      <c r="H285" s="274"/>
    </row>
    <row r="286" ht="27.0" customHeight="1">
      <c r="A286" s="86"/>
      <c r="B286" s="86"/>
      <c r="D286" s="275" t="str">
        <f t="array" ref="D286">IFERROR(INDEX('計測入力シート（ここのみ編集可）'!$BN$17:$BN$116,MATCH(A285&amp;B285,'計測入力シート（ここのみ編集可）'!$BO$17:$BO$116,0)),"")</f>
        <v/>
      </c>
      <c r="E286" s="276" t="str">
        <f t="array" ref="E286">IFERROR(INDEX('計測入力シート（ここのみ編集可）'!$BP$17:$BP$116,MATCH(A285&amp;B285,'計測入力シート（ここのみ編集可）'!$BO$17:$BO$116,0)),"")</f>
        <v/>
      </c>
      <c r="F286" s="277" t="str">
        <f t="array" ref="F286">IFERROR(INDEX('計測入力シート（ここのみ編集可）'!$BR$17:$BR$116,MATCH(A285&amp;B285,'計測入力シート（ここのみ編集可）'!$BO$17:$BO$116,0)),"")</f>
        <v/>
      </c>
      <c r="G286" s="278" t="str">
        <f t="array" ref="G286">IFERROR(INDEX('計測入力シート（ここのみ編集可）'!$BL$17:$BL$116,MATCH(A285&amp;B285,'計測入力シート（ここのみ編集可）'!$BO$17:$BO$116,0)),"")</f>
        <v/>
      </c>
      <c r="H286" s="279"/>
    </row>
    <row r="287" ht="27.0" customHeight="1">
      <c r="D287" s="280" t="s">
        <v>2</v>
      </c>
      <c r="E287" s="281" t="str">
        <f t="array" ref="E287">IFERROR(INDEX('計測入力シート（ここのみ編集可）'!$C$17:$C$116,MATCH(A285&amp;B285,'計測入力シート（ここのみ編集可）'!$BO$17:$BO$116,0)),"")</f>
        <v/>
      </c>
      <c r="F287" s="282" t="s">
        <v>17</v>
      </c>
      <c r="G287" s="283" t="str">
        <f t="array" ref="G287">IFERROR(INDEX('計測入力シート（ここのみ編集可）'!$D$17:$D$116,MATCH(A285&amp;B285,'計測入力シート（ここのみ編集可）'!$BO$17:$BO$116,0)),"")</f>
        <v/>
      </c>
      <c r="H287" s="284"/>
    </row>
    <row r="288" ht="27.0" customHeight="1">
      <c r="D288" s="285" t="s">
        <v>1</v>
      </c>
      <c r="E288" s="286" t="str">
        <f t="array" ref="E288">IFERROR(INDEX('計測入力シート（ここのみ編集可）'!$B$17:$B$116,MATCH(A285&amp;B285,'計測入力シート（ここのみ編集可）'!$BO$17:$BO$116,0)),"")</f>
        <v/>
      </c>
      <c r="F288" s="287" t="s">
        <v>18</v>
      </c>
      <c r="G288" s="288" t="str">
        <f t="array" ref="G288">IFERROR(INDEX('計測入力シート（ここのみ編集可）'!$E$17:$E$116,MATCH(A285&amp;B285,'計測入力シート（ここのみ編集可）'!$BO$17:$BO$116,0)),"")</f>
        <v/>
      </c>
      <c r="H288" s="289"/>
    </row>
    <row r="289" ht="24.75" customHeight="1">
      <c r="D289" s="290" t="s">
        <v>92</v>
      </c>
      <c r="E289" s="291" t="str">
        <f t="array" ref="E289">IFERROR(INDEX(#REF!,MATCH(A285&amp;B285,'計測入力シート（ここのみ編集可）'!$BO$17:$BO$116,0)),"")</f>
        <v/>
      </c>
      <c r="H289" s="232"/>
    </row>
    <row r="290" ht="52.5" customHeight="1">
      <c r="D290" s="292" t="s">
        <v>100</v>
      </c>
      <c r="E290" s="293" t="str">
        <f t="array" ref="E290">IFERROR(INDEX(#REF!,MATCH(A285&amp;B285,'計測入力シート（ここのみ編集可）'!$BO$17:$BO$116,0)),"")</f>
        <v/>
      </c>
      <c r="F290" s="95"/>
      <c r="G290" s="95"/>
      <c r="H290" s="96"/>
    </row>
    <row r="291" ht="20.25" customHeight="1">
      <c r="D291" s="294" t="s">
        <v>39</v>
      </c>
      <c r="E291" s="295" t="str">
        <f t="array" ref="E291">IFERROR(INDEX('計測入力シート（ここのみ編集可）'!$AW$17:$AW$116,MATCH(A285&amp;B285,'計測入力シート（ここのみ編集可）'!$BO$17:$BO$116,0)),"")</f>
        <v/>
      </c>
      <c r="F291" s="296"/>
      <c r="G291" s="297" t="s">
        <v>110</v>
      </c>
      <c r="H291" s="298" t="str">
        <f t="array" ref="H291">IFERROR(INDEX('計測入力シート（ここのみ編集可）'!$AY$17:$AY$116,MATCH(A285&amp;B285,'計測入力シート（ここのみ編集可）'!$BO$17:$BO$116,0)),"")</f>
        <v/>
      </c>
    </row>
    <row r="292" ht="20.25" customHeight="1">
      <c r="D292" s="299" t="s">
        <v>42</v>
      </c>
      <c r="E292" s="300" t="str">
        <f t="array" ref="E292">IFERROR(INDEX('計測入力シート（ここのみ編集可）'!$AZ$17:$AZ$116,MATCH(A285&amp;B285,'計測入力シート（ここのみ編集可）'!$BO$17:$BO$116,0)),"")</f>
        <v/>
      </c>
      <c r="F292" s="116"/>
      <c r="G292" s="301" t="s">
        <v>111</v>
      </c>
      <c r="H292" s="302" t="str">
        <f t="array" ref="H292">IFERROR(INDEX('計測入力シート（ここのみ編集可）'!$BB$17:$BB$116,MATCH(A285&amp;B285,'計測入力シート（ここのみ編集可）'!$BO$17:$BO$116,0)),"")</f>
        <v/>
      </c>
    </row>
    <row r="293" ht="20.25" customHeight="1">
      <c r="D293" s="303" t="s">
        <v>112</v>
      </c>
      <c r="E293" s="304" t="str">
        <f t="array" ref="E293">IFERROR(INDEX('計測入力シート（ここのみ編集可）'!$BC$17:$BC$116,MATCH(A285&amp;B285,'計測入力シート（ここのみ編集可）'!$BO$17:$BO$116,0)),"")</f>
        <v/>
      </c>
      <c r="F293" s="305"/>
      <c r="G293" s="306" t="s">
        <v>25</v>
      </c>
      <c r="H293" s="307" t="str">
        <f t="array" ref="H293">IFERROR(INDEX('計測入力シート（ここのみ編集可）'!$BD$17:$BD$116,MATCH(A285&amp;B285,'計測入力シート（ここのみ編集可）'!$BO$17:$BO$116,0)),"")</f>
        <v/>
      </c>
    </row>
    <row r="294" ht="20.25" customHeight="1">
      <c r="D294" s="308"/>
    </row>
    <row r="295" ht="27.0" customHeight="1">
      <c r="A295" s="52" t="str">
        <f>A285</f>
        <v>D</v>
      </c>
      <c r="B295" s="52">
        <f>B285+1</f>
        <v>30</v>
      </c>
      <c r="D295" s="271" t="s">
        <v>80</v>
      </c>
      <c r="E295" s="272" t="s">
        <v>81</v>
      </c>
      <c r="F295" s="272" t="s">
        <v>82</v>
      </c>
      <c r="G295" s="273" t="s">
        <v>49</v>
      </c>
      <c r="H295" s="274"/>
    </row>
    <row r="296" ht="27.0" customHeight="1">
      <c r="A296" s="86"/>
      <c r="B296" s="86"/>
      <c r="D296" s="275" t="str">
        <f t="array" ref="D296">IFERROR(INDEX('計測入力シート（ここのみ編集可）'!$BN$17:$BN$116,MATCH(A295&amp;B295,'計測入力シート（ここのみ編集可）'!$BO$17:$BO$116,0)),"")</f>
        <v/>
      </c>
      <c r="E296" s="276" t="str">
        <f t="array" ref="E296">IFERROR(INDEX('計測入力シート（ここのみ編集可）'!$BP$17:$BP$116,MATCH(A295&amp;B295,'計測入力シート（ここのみ編集可）'!$BO$17:$BO$116,0)),"")</f>
        <v/>
      </c>
      <c r="F296" s="277" t="str">
        <f t="array" ref="F296">IFERROR(INDEX('計測入力シート（ここのみ編集可）'!$BR$17:$BR$116,MATCH(A295&amp;B295,'計測入力シート（ここのみ編集可）'!$BO$17:$BO$116,0)),"")</f>
        <v/>
      </c>
      <c r="G296" s="278" t="str">
        <f t="array" ref="G296">IFERROR(INDEX('計測入力シート（ここのみ編集可）'!$BL$17:$BL$116,MATCH(A295&amp;B295,'計測入力シート（ここのみ編集可）'!$BO$17:$BO$116,0)),"")</f>
        <v/>
      </c>
      <c r="H296" s="279"/>
    </row>
    <row r="297" ht="27.0" customHeight="1">
      <c r="D297" s="280" t="s">
        <v>2</v>
      </c>
      <c r="E297" s="281" t="str">
        <f t="array" ref="E297">IFERROR(INDEX('計測入力シート（ここのみ編集可）'!$C$17:$C$116,MATCH(A295&amp;B295,'計測入力シート（ここのみ編集可）'!$BO$17:$BO$116,0)),"")</f>
        <v/>
      </c>
      <c r="F297" s="282" t="s">
        <v>17</v>
      </c>
      <c r="G297" s="283" t="str">
        <f t="array" ref="G297">IFERROR(INDEX('計測入力シート（ここのみ編集可）'!$D$17:$D$116,MATCH(A295&amp;B295,'計測入力シート（ここのみ編集可）'!$BO$17:$BO$116,0)),"")</f>
        <v/>
      </c>
      <c r="H297" s="284"/>
    </row>
    <row r="298" ht="27.0" customHeight="1">
      <c r="D298" s="285" t="s">
        <v>1</v>
      </c>
      <c r="E298" s="286" t="str">
        <f t="array" ref="E298">IFERROR(INDEX('計測入力シート（ここのみ編集可）'!$B$17:$B$116,MATCH(A295&amp;B295,'計測入力シート（ここのみ編集可）'!$BO$17:$BO$116,0)),"")</f>
        <v/>
      </c>
      <c r="F298" s="287" t="s">
        <v>18</v>
      </c>
      <c r="G298" s="288" t="str">
        <f t="array" ref="G298">IFERROR(INDEX('計測入力シート（ここのみ編集可）'!$E$17:$E$116,MATCH(A295&amp;B295,'計測入力シート（ここのみ編集可）'!$BO$17:$BO$116,0)),"")</f>
        <v/>
      </c>
      <c r="H298" s="289"/>
    </row>
    <row r="299" ht="24.75" customHeight="1">
      <c r="D299" s="290" t="s">
        <v>92</v>
      </c>
      <c r="E299" s="291" t="str">
        <f t="array" ref="E299">IFERROR(INDEX(#REF!,MATCH(A295&amp;B295,'計測入力シート（ここのみ編集可）'!$BO$17:$BO$116,0)),"")</f>
        <v/>
      </c>
      <c r="H299" s="232"/>
    </row>
    <row r="300" ht="52.5" customHeight="1">
      <c r="D300" s="292" t="s">
        <v>100</v>
      </c>
      <c r="E300" s="293" t="str">
        <f t="array" ref="E300">IFERROR(INDEX(#REF!,MATCH(A295&amp;B295,'計測入力シート（ここのみ編集可）'!$BO$17:$BO$116,0)),"")</f>
        <v/>
      </c>
      <c r="F300" s="95"/>
      <c r="G300" s="95"/>
      <c r="H300" s="96"/>
    </row>
    <row r="301" ht="20.25" customHeight="1">
      <c r="D301" s="294" t="s">
        <v>39</v>
      </c>
      <c r="E301" s="295" t="str">
        <f t="array" ref="E301">IFERROR(INDEX('計測入力シート（ここのみ編集可）'!$AW$17:$AW$116,MATCH(A295&amp;B295,'計測入力シート（ここのみ編集可）'!$BO$17:$BO$116,0)),"")</f>
        <v/>
      </c>
      <c r="F301" s="296"/>
      <c r="G301" s="297" t="s">
        <v>110</v>
      </c>
      <c r="H301" s="298" t="str">
        <f t="array" ref="H301">IFERROR(INDEX('計測入力シート（ここのみ編集可）'!$AY$17:$AY$116,MATCH(A295&amp;B295,'計測入力シート（ここのみ編集可）'!$BO$17:$BO$116,0)),"")</f>
        <v/>
      </c>
    </row>
    <row r="302" ht="20.25" customHeight="1">
      <c r="D302" s="299" t="s">
        <v>42</v>
      </c>
      <c r="E302" s="300" t="str">
        <f t="array" ref="E302">IFERROR(INDEX('計測入力シート（ここのみ編集可）'!$AZ$17:$AZ$116,MATCH(A295&amp;B295,'計測入力シート（ここのみ編集可）'!$BO$17:$BO$116,0)),"")</f>
        <v/>
      </c>
      <c r="F302" s="116"/>
      <c r="G302" s="301" t="s">
        <v>111</v>
      </c>
      <c r="H302" s="302" t="str">
        <f t="array" ref="H302">IFERROR(INDEX('計測入力シート（ここのみ編集可）'!$BB$17:$BB$116,MATCH(A295&amp;B295,'計測入力シート（ここのみ編集可）'!$BO$17:$BO$116,0)),"")</f>
        <v/>
      </c>
    </row>
    <row r="303" ht="20.25" customHeight="1">
      <c r="D303" s="303" t="s">
        <v>112</v>
      </c>
      <c r="E303" s="304" t="str">
        <f t="array" ref="E303">IFERROR(INDEX('計測入力シート（ここのみ編集可）'!$BC$17:$BC$116,MATCH(A295&amp;B295,'計測入力シート（ここのみ編集可）'!$BO$17:$BO$116,0)),"")</f>
        <v/>
      </c>
      <c r="F303" s="305"/>
      <c r="G303" s="306" t="s">
        <v>25</v>
      </c>
      <c r="H303" s="307" t="str">
        <f t="array" ref="H303">IFERROR(INDEX('計測入力シート（ここのみ編集可）'!$BD$17:$BD$116,MATCH(A295&amp;B295,'計測入力シート（ここのみ編集可）'!$BO$17:$BO$116,0)),"")</f>
        <v/>
      </c>
    </row>
    <row r="304">
      <c r="D304" s="309"/>
      <c r="E304" s="309"/>
      <c r="F304" s="309"/>
      <c r="G304" s="309"/>
      <c r="H304" s="309"/>
    </row>
    <row r="305">
      <c r="D305" s="309"/>
      <c r="E305" s="309"/>
      <c r="F305" s="309"/>
      <c r="G305" s="309"/>
      <c r="H305" s="309"/>
    </row>
    <row r="306">
      <c r="D306" s="309"/>
      <c r="E306" s="309"/>
      <c r="F306" s="309"/>
      <c r="G306" s="309"/>
      <c r="H306" s="309"/>
    </row>
    <row r="307">
      <c r="D307" s="309"/>
      <c r="E307" s="309"/>
      <c r="F307" s="309"/>
      <c r="G307" s="309"/>
      <c r="H307" s="309"/>
    </row>
    <row r="308">
      <c r="D308" s="309"/>
      <c r="E308" s="309"/>
      <c r="F308" s="309"/>
      <c r="G308" s="309"/>
      <c r="H308" s="309"/>
    </row>
    <row r="309">
      <c r="D309" s="309"/>
      <c r="E309" s="309"/>
      <c r="F309" s="309"/>
      <c r="G309" s="309"/>
      <c r="H309" s="309"/>
    </row>
    <row r="310">
      <c r="D310" s="309"/>
      <c r="E310" s="309"/>
      <c r="F310" s="309"/>
      <c r="G310" s="309"/>
      <c r="H310" s="309"/>
    </row>
    <row r="311">
      <c r="D311" s="309"/>
      <c r="E311" s="309"/>
      <c r="F311" s="309"/>
      <c r="G311" s="309"/>
      <c r="H311" s="309"/>
    </row>
    <row r="312">
      <c r="D312" s="309"/>
      <c r="E312" s="309"/>
      <c r="F312" s="309"/>
      <c r="G312" s="309"/>
      <c r="H312" s="309"/>
    </row>
    <row r="313">
      <c r="D313" s="309"/>
      <c r="E313" s="309"/>
      <c r="F313" s="309"/>
      <c r="G313" s="309"/>
      <c r="H313" s="309"/>
    </row>
    <row r="314">
      <c r="D314" s="309"/>
      <c r="E314" s="309"/>
      <c r="F314" s="309"/>
      <c r="G314" s="309"/>
      <c r="H314" s="309"/>
    </row>
    <row r="315">
      <c r="D315" s="309"/>
      <c r="E315" s="309"/>
      <c r="F315" s="309"/>
      <c r="G315" s="309"/>
      <c r="H315" s="309"/>
    </row>
    <row r="316">
      <c r="D316" s="309"/>
      <c r="E316" s="309"/>
      <c r="F316" s="309"/>
      <c r="G316" s="309"/>
      <c r="H316" s="309"/>
    </row>
    <row r="317">
      <c r="D317" s="309"/>
      <c r="E317" s="309"/>
      <c r="F317" s="309"/>
      <c r="G317" s="309"/>
      <c r="H317" s="309"/>
    </row>
    <row r="318">
      <c r="D318" s="309"/>
      <c r="E318" s="309"/>
      <c r="F318" s="309"/>
      <c r="G318" s="309"/>
      <c r="H318" s="309"/>
    </row>
    <row r="319">
      <c r="D319" s="309"/>
      <c r="E319" s="309"/>
      <c r="F319" s="309"/>
      <c r="G319" s="309"/>
      <c r="H319" s="309"/>
    </row>
    <row r="320">
      <c r="D320" s="309"/>
      <c r="E320" s="309"/>
      <c r="F320" s="309"/>
      <c r="G320" s="309"/>
      <c r="H320" s="309"/>
    </row>
    <row r="321">
      <c r="D321" s="309"/>
      <c r="E321" s="309"/>
      <c r="F321" s="309"/>
      <c r="G321" s="309"/>
      <c r="H321" s="309"/>
      <c r="I321" s="309"/>
    </row>
    <row r="322">
      <c r="D322" s="309"/>
      <c r="E322" s="309"/>
      <c r="F322" s="309"/>
      <c r="G322" s="309"/>
      <c r="H322" s="309"/>
      <c r="I322" s="309"/>
    </row>
    <row r="323">
      <c r="D323" s="309"/>
      <c r="E323" s="309"/>
      <c r="F323" s="309"/>
      <c r="G323" s="309"/>
      <c r="H323" s="309"/>
      <c r="I323" s="309"/>
    </row>
    <row r="324">
      <c r="D324" s="309"/>
      <c r="E324" s="309"/>
      <c r="F324" s="309"/>
      <c r="G324" s="309"/>
      <c r="H324" s="309"/>
      <c r="I324" s="309"/>
    </row>
    <row r="325">
      <c r="D325" s="309"/>
      <c r="E325" s="309"/>
      <c r="F325" s="309"/>
      <c r="G325" s="309"/>
      <c r="H325" s="309"/>
      <c r="I325" s="309"/>
    </row>
    <row r="326">
      <c r="D326" s="309"/>
      <c r="E326" s="309"/>
      <c r="F326" s="309"/>
      <c r="G326" s="309"/>
      <c r="H326" s="309"/>
      <c r="I326" s="309"/>
    </row>
    <row r="327">
      <c r="D327" s="309"/>
      <c r="E327" s="309"/>
      <c r="F327" s="309"/>
      <c r="G327" s="309"/>
      <c r="H327" s="309"/>
      <c r="I327" s="309"/>
    </row>
    <row r="328">
      <c r="D328" s="309"/>
      <c r="E328" s="309"/>
      <c r="F328" s="309"/>
      <c r="G328" s="309"/>
      <c r="H328" s="309"/>
      <c r="I328" s="309"/>
    </row>
    <row r="329">
      <c r="D329" s="309"/>
      <c r="E329" s="309"/>
      <c r="F329" s="309"/>
      <c r="G329" s="309"/>
      <c r="H329" s="309"/>
      <c r="I329" s="309"/>
    </row>
    <row r="330">
      <c r="D330" s="309"/>
      <c r="E330" s="309"/>
      <c r="F330" s="309"/>
      <c r="G330" s="309"/>
      <c r="H330" s="309"/>
      <c r="I330" s="309"/>
    </row>
    <row r="331">
      <c r="D331" s="309"/>
      <c r="E331" s="309"/>
      <c r="F331" s="309"/>
      <c r="G331" s="309"/>
      <c r="H331" s="309"/>
      <c r="I331" s="309"/>
    </row>
    <row r="332">
      <c r="D332" s="309"/>
      <c r="E332" s="309"/>
      <c r="F332" s="309"/>
      <c r="G332" s="309"/>
      <c r="H332" s="309"/>
      <c r="I332" s="309"/>
    </row>
    <row r="333">
      <c r="D333" s="309"/>
      <c r="E333" s="309"/>
      <c r="F333" s="309"/>
      <c r="G333" s="309"/>
      <c r="H333" s="309"/>
      <c r="I333" s="309"/>
    </row>
    <row r="334">
      <c r="D334" s="309"/>
      <c r="E334" s="309"/>
      <c r="F334" s="309"/>
      <c r="G334" s="309"/>
      <c r="H334" s="309"/>
      <c r="I334" s="309"/>
    </row>
    <row r="335">
      <c r="D335" s="309"/>
      <c r="E335" s="309"/>
      <c r="F335" s="309"/>
      <c r="G335" s="309"/>
      <c r="H335" s="309"/>
      <c r="I335" s="309"/>
    </row>
    <row r="336">
      <c r="D336" s="309"/>
      <c r="E336" s="309"/>
      <c r="F336" s="309"/>
      <c r="G336" s="309"/>
      <c r="H336" s="309"/>
      <c r="I336" s="309"/>
    </row>
    <row r="337">
      <c r="D337" s="309"/>
      <c r="E337" s="309"/>
      <c r="F337" s="309"/>
      <c r="G337" s="309"/>
      <c r="H337" s="309"/>
      <c r="I337" s="309"/>
    </row>
    <row r="338">
      <c r="D338" s="309"/>
      <c r="E338" s="309"/>
      <c r="F338" s="309"/>
      <c r="G338" s="309"/>
      <c r="H338" s="309"/>
      <c r="I338" s="309"/>
    </row>
    <row r="339">
      <c r="D339" s="309"/>
      <c r="E339" s="309"/>
      <c r="F339" s="309"/>
      <c r="G339" s="309"/>
      <c r="H339" s="309"/>
      <c r="I339" s="309"/>
    </row>
    <row r="340">
      <c r="D340" s="309"/>
      <c r="E340" s="309"/>
      <c r="F340" s="309"/>
      <c r="G340" s="309"/>
      <c r="H340" s="309"/>
      <c r="I340" s="309"/>
    </row>
    <row r="341">
      <c r="D341" s="309"/>
      <c r="E341" s="309"/>
      <c r="F341" s="309"/>
      <c r="G341" s="309"/>
      <c r="H341" s="309"/>
      <c r="I341" s="309"/>
    </row>
    <row r="342">
      <c r="D342" s="309"/>
      <c r="E342" s="309"/>
      <c r="F342" s="309"/>
      <c r="G342" s="309"/>
      <c r="H342" s="309"/>
      <c r="I342" s="309"/>
    </row>
    <row r="343">
      <c r="D343" s="309"/>
      <c r="E343" s="309"/>
      <c r="F343" s="309"/>
      <c r="G343" s="309"/>
      <c r="H343" s="309"/>
      <c r="I343" s="309"/>
    </row>
    <row r="344">
      <c r="D344" s="309"/>
      <c r="E344" s="309"/>
      <c r="F344" s="309"/>
      <c r="G344" s="309"/>
      <c r="H344" s="309"/>
      <c r="I344" s="309"/>
    </row>
    <row r="345">
      <c r="D345" s="309"/>
      <c r="E345" s="309"/>
      <c r="F345" s="309"/>
      <c r="G345" s="309"/>
      <c r="H345" s="309"/>
      <c r="I345" s="309"/>
    </row>
    <row r="346">
      <c r="D346" s="309"/>
      <c r="E346" s="309"/>
      <c r="F346" s="309"/>
      <c r="G346" s="309"/>
      <c r="H346" s="309"/>
      <c r="I346" s="309"/>
    </row>
    <row r="347">
      <c r="D347" s="309"/>
      <c r="E347" s="309"/>
      <c r="F347" s="309"/>
      <c r="G347" s="309"/>
      <c r="H347" s="309"/>
      <c r="I347" s="309"/>
    </row>
    <row r="348">
      <c r="D348" s="309"/>
      <c r="E348" s="309"/>
      <c r="F348" s="309"/>
      <c r="G348" s="309"/>
      <c r="H348" s="309"/>
      <c r="I348" s="309"/>
    </row>
    <row r="349">
      <c r="D349" s="309"/>
      <c r="E349" s="309"/>
      <c r="F349" s="309"/>
      <c r="G349" s="309"/>
      <c r="H349" s="309"/>
      <c r="I349" s="309"/>
    </row>
    <row r="350">
      <c r="D350" s="309"/>
      <c r="E350" s="309"/>
      <c r="F350" s="309"/>
      <c r="G350" s="309"/>
      <c r="H350" s="309"/>
      <c r="I350" s="309"/>
    </row>
    <row r="351">
      <c r="D351" s="309"/>
      <c r="E351" s="309"/>
      <c r="F351" s="309"/>
      <c r="G351" s="309"/>
      <c r="H351" s="309"/>
      <c r="I351" s="309"/>
    </row>
    <row r="352">
      <c r="D352" s="309"/>
      <c r="E352" s="309"/>
      <c r="F352" s="309"/>
      <c r="G352" s="309"/>
      <c r="H352" s="309"/>
      <c r="I352" s="309"/>
    </row>
    <row r="353">
      <c r="D353" s="309"/>
      <c r="E353" s="309"/>
      <c r="F353" s="309"/>
      <c r="G353" s="309"/>
      <c r="H353" s="309"/>
      <c r="I353" s="309"/>
    </row>
    <row r="354">
      <c r="D354" s="309"/>
      <c r="E354" s="309"/>
      <c r="F354" s="309"/>
      <c r="G354" s="309"/>
      <c r="H354" s="309"/>
      <c r="I354" s="309"/>
    </row>
    <row r="355">
      <c r="D355" s="309"/>
      <c r="E355" s="309"/>
      <c r="F355" s="309"/>
      <c r="G355" s="309"/>
      <c r="H355" s="309"/>
      <c r="I355" s="309"/>
    </row>
    <row r="356">
      <c r="D356" s="309"/>
      <c r="E356" s="309"/>
      <c r="F356" s="309"/>
      <c r="G356" s="309"/>
      <c r="H356" s="309"/>
      <c r="I356" s="309"/>
    </row>
    <row r="357">
      <c r="D357" s="309"/>
      <c r="E357" s="309"/>
      <c r="F357" s="309"/>
      <c r="G357" s="309"/>
      <c r="H357" s="309"/>
      <c r="I357" s="309"/>
    </row>
    <row r="358">
      <c r="D358" s="309"/>
      <c r="E358" s="309"/>
      <c r="F358" s="309"/>
      <c r="G358" s="309"/>
      <c r="H358" s="309"/>
      <c r="I358" s="309"/>
    </row>
    <row r="359">
      <c r="D359" s="309"/>
      <c r="E359" s="309"/>
      <c r="F359" s="309"/>
      <c r="G359" s="309"/>
      <c r="H359" s="309"/>
      <c r="I359" s="309"/>
    </row>
    <row r="360">
      <c r="D360" s="309"/>
      <c r="E360" s="309"/>
      <c r="F360" s="309"/>
      <c r="G360" s="309"/>
      <c r="H360" s="309"/>
      <c r="I360" s="309"/>
    </row>
    <row r="361">
      <c r="D361" s="309"/>
      <c r="E361" s="309"/>
      <c r="F361" s="309"/>
      <c r="G361" s="309"/>
      <c r="H361" s="309"/>
      <c r="I361" s="309"/>
    </row>
    <row r="362">
      <c r="D362" s="309"/>
      <c r="E362" s="309"/>
      <c r="F362" s="309"/>
      <c r="G362" s="309"/>
      <c r="H362" s="309"/>
      <c r="I362" s="309"/>
    </row>
    <row r="363">
      <c r="D363" s="309"/>
      <c r="E363" s="309"/>
      <c r="F363" s="309"/>
      <c r="G363" s="309"/>
      <c r="H363" s="309"/>
      <c r="I363" s="309"/>
    </row>
    <row r="364">
      <c r="D364" s="309"/>
      <c r="E364" s="309"/>
      <c r="F364" s="309"/>
      <c r="G364" s="309"/>
      <c r="H364" s="309"/>
      <c r="I364" s="309"/>
    </row>
    <row r="365">
      <c r="D365" s="309"/>
      <c r="E365" s="309"/>
      <c r="F365" s="309"/>
      <c r="G365" s="309"/>
      <c r="H365" s="309"/>
      <c r="I365" s="309"/>
    </row>
    <row r="366">
      <c r="D366" s="309"/>
      <c r="E366" s="309"/>
      <c r="F366" s="309"/>
      <c r="G366" s="309"/>
      <c r="H366" s="309"/>
      <c r="I366" s="309"/>
    </row>
    <row r="367">
      <c r="D367" s="309"/>
      <c r="E367" s="309"/>
      <c r="F367" s="309"/>
      <c r="G367" s="309"/>
      <c r="H367" s="309"/>
      <c r="I367" s="309"/>
    </row>
    <row r="368">
      <c r="D368" s="309"/>
      <c r="E368" s="309"/>
      <c r="F368" s="309"/>
      <c r="G368" s="309"/>
      <c r="H368" s="309"/>
      <c r="I368" s="309"/>
    </row>
    <row r="369">
      <c r="D369" s="309"/>
      <c r="E369" s="309"/>
      <c r="F369" s="309"/>
      <c r="G369" s="309"/>
      <c r="H369" s="309"/>
      <c r="I369" s="309"/>
    </row>
    <row r="370">
      <c r="D370" s="309"/>
      <c r="E370" s="309"/>
      <c r="F370" s="309"/>
      <c r="G370" s="309"/>
      <c r="H370" s="309"/>
      <c r="I370" s="309"/>
    </row>
    <row r="371">
      <c r="D371" s="309"/>
      <c r="E371" s="309"/>
      <c r="F371" s="309"/>
      <c r="G371" s="309"/>
      <c r="H371" s="309"/>
      <c r="I371" s="309"/>
    </row>
    <row r="372">
      <c r="D372" s="309"/>
      <c r="E372" s="309"/>
      <c r="F372" s="309"/>
      <c r="G372" s="309"/>
      <c r="H372" s="309"/>
      <c r="I372" s="309"/>
    </row>
    <row r="373">
      <c r="D373" s="309"/>
      <c r="E373" s="309"/>
      <c r="F373" s="309"/>
      <c r="G373" s="309"/>
      <c r="H373" s="309"/>
      <c r="I373" s="309"/>
    </row>
    <row r="374">
      <c r="D374" s="309"/>
      <c r="E374" s="309"/>
      <c r="F374" s="309"/>
      <c r="G374" s="309"/>
      <c r="H374" s="309"/>
      <c r="I374" s="309"/>
    </row>
    <row r="375">
      <c r="D375" s="309"/>
      <c r="E375" s="309"/>
      <c r="F375" s="309"/>
      <c r="G375" s="309"/>
      <c r="H375" s="309"/>
      <c r="I375" s="309"/>
    </row>
    <row r="376">
      <c r="D376" s="309"/>
      <c r="E376" s="309"/>
      <c r="F376" s="309"/>
      <c r="G376" s="309"/>
      <c r="H376" s="309"/>
      <c r="I376" s="309"/>
    </row>
    <row r="377">
      <c r="D377" s="309"/>
      <c r="E377" s="309"/>
      <c r="F377" s="309"/>
      <c r="G377" s="309"/>
      <c r="H377" s="309"/>
      <c r="I377" s="309"/>
    </row>
    <row r="378">
      <c r="D378" s="309"/>
      <c r="E378" s="309"/>
      <c r="F378" s="309"/>
      <c r="G378" s="309"/>
      <c r="H378" s="309"/>
      <c r="I378" s="309"/>
    </row>
    <row r="379">
      <c r="D379" s="309"/>
      <c r="E379" s="309"/>
      <c r="F379" s="309"/>
      <c r="G379" s="309"/>
      <c r="H379" s="309"/>
      <c r="I379" s="309"/>
    </row>
    <row r="380">
      <c r="D380" s="309"/>
      <c r="E380" s="309"/>
      <c r="F380" s="309"/>
      <c r="G380" s="309"/>
      <c r="H380" s="309"/>
      <c r="I380" s="309"/>
    </row>
    <row r="381">
      <c r="D381" s="309"/>
      <c r="E381" s="309"/>
      <c r="F381" s="309"/>
      <c r="G381" s="309"/>
      <c r="H381" s="309"/>
      <c r="I381" s="309"/>
    </row>
    <row r="382">
      <c r="D382" s="309"/>
      <c r="E382" s="309"/>
      <c r="F382" s="309"/>
      <c r="G382" s="309"/>
      <c r="H382" s="309"/>
      <c r="I382" s="309"/>
    </row>
    <row r="383">
      <c r="D383" s="309"/>
      <c r="E383" s="309"/>
      <c r="F383" s="309"/>
      <c r="G383" s="309"/>
      <c r="H383" s="309"/>
      <c r="I383" s="309"/>
    </row>
    <row r="384">
      <c r="D384" s="309"/>
      <c r="E384" s="309"/>
      <c r="F384" s="309"/>
      <c r="G384" s="309"/>
      <c r="H384" s="309"/>
      <c r="I384" s="309"/>
    </row>
    <row r="385">
      <c r="D385" s="309"/>
      <c r="E385" s="309"/>
      <c r="F385" s="309"/>
      <c r="G385" s="309"/>
      <c r="H385" s="309"/>
      <c r="I385" s="309"/>
    </row>
    <row r="386">
      <c r="D386" s="309"/>
      <c r="E386" s="309"/>
      <c r="F386" s="309"/>
      <c r="G386" s="309"/>
      <c r="H386" s="309"/>
      <c r="I386" s="309"/>
    </row>
    <row r="387">
      <c r="D387" s="309"/>
      <c r="E387" s="309"/>
      <c r="F387" s="309"/>
      <c r="G387" s="309"/>
      <c r="H387" s="309"/>
      <c r="I387" s="309"/>
    </row>
    <row r="388">
      <c r="D388" s="309"/>
      <c r="E388" s="309"/>
      <c r="F388" s="309"/>
      <c r="G388" s="309"/>
      <c r="H388" s="309"/>
      <c r="I388" s="309"/>
    </row>
    <row r="389">
      <c r="D389" s="309"/>
      <c r="E389" s="309"/>
      <c r="F389" s="309"/>
      <c r="G389" s="309"/>
      <c r="H389" s="309"/>
      <c r="I389" s="309"/>
    </row>
    <row r="390">
      <c r="D390" s="309"/>
      <c r="E390" s="309"/>
      <c r="F390" s="309"/>
      <c r="G390" s="309"/>
      <c r="H390" s="309"/>
      <c r="I390" s="309"/>
    </row>
    <row r="391">
      <c r="D391" s="309"/>
      <c r="E391" s="309"/>
      <c r="F391" s="309"/>
      <c r="G391" s="309"/>
      <c r="H391" s="309"/>
      <c r="I391" s="309"/>
    </row>
    <row r="392">
      <c r="D392" s="309"/>
      <c r="E392" s="309"/>
      <c r="F392" s="309"/>
      <c r="G392" s="309"/>
      <c r="H392" s="309"/>
      <c r="I392" s="309"/>
    </row>
    <row r="393">
      <c r="D393" s="309"/>
      <c r="E393" s="309"/>
      <c r="F393" s="309"/>
      <c r="G393" s="309"/>
      <c r="H393" s="309"/>
      <c r="I393" s="309"/>
    </row>
    <row r="394">
      <c r="D394" s="309"/>
      <c r="E394" s="309"/>
      <c r="F394" s="309"/>
      <c r="G394" s="309"/>
      <c r="H394" s="309"/>
      <c r="I394" s="309"/>
    </row>
    <row r="395">
      <c r="D395" s="309"/>
      <c r="E395" s="309"/>
      <c r="F395" s="309"/>
      <c r="G395" s="309"/>
      <c r="H395" s="309"/>
      <c r="I395" s="309"/>
    </row>
    <row r="396">
      <c r="D396" s="309"/>
      <c r="E396" s="309"/>
      <c r="F396" s="309"/>
      <c r="G396" s="309"/>
      <c r="H396" s="309"/>
      <c r="I396" s="309"/>
    </row>
    <row r="397">
      <c r="D397" s="309"/>
      <c r="E397" s="309"/>
      <c r="F397" s="309"/>
      <c r="G397" s="309"/>
      <c r="H397" s="309"/>
      <c r="I397" s="309"/>
    </row>
    <row r="398">
      <c r="D398" s="309"/>
      <c r="E398" s="309"/>
      <c r="F398" s="309"/>
      <c r="G398" s="309"/>
      <c r="H398" s="309"/>
      <c r="I398" s="309"/>
    </row>
    <row r="399">
      <c r="D399" s="309"/>
      <c r="E399" s="309"/>
      <c r="F399" s="309"/>
      <c r="G399" s="309"/>
      <c r="H399" s="309"/>
      <c r="I399" s="309"/>
    </row>
    <row r="400">
      <c r="D400" s="309"/>
      <c r="E400" s="309"/>
      <c r="F400" s="309"/>
      <c r="G400" s="309"/>
      <c r="H400" s="309"/>
      <c r="I400" s="309"/>
    </row>
    <row r="401">
      <c r="D401" s="309"/>
      <c r="E401" s="309"/>
      <c r="F401" s="309"/>
      <c r="G401" s="309"/>
      <c r="H401" s="309"/>
      <c r="I401" s="309"/>
    </row>
    <row r="402">
      <c r="D402" s="309"/>
      <c r="E402" s="309"/>
      <c r="F402" s="309"/>
      <c r="G402" s="309"/>
      <c r="H402" s="309"/>
      <c r="I402" s="309"/>
    </row>
    <row r="403">
      <c r="D403" s="309"/>
      <c r="E403" s="309"/>
      <c r="F403" s="309"/>
      <c r="G403" s="309"/>
      <c r="H403" s="309"/>
      <c r="I403" s="309"/>
    </row>
    <row r="404">
      <c r="D404" s="309"/>
      <c r="E404" s="309"/>
      <c r="F404" s="309"/>
      <c r="G404" s="309"/>
      <c r="H404" s="309"/>
      <c r="I404" s="309"/>
    </row>
    <row r="405">
      <c r="D405" s="309"/>
      <c r="E405" s="309"/>
      <c r="F405" s="309"/>
      <c r="G405" s="309"/>
      <c r="H405" s="309"/>
      <c r="I405" s="309"/>
    </row>
    <row r="406">
      <c r="D406" s="309"/>
      <c r="E406" s="309"/>
      <c r="F406" s="309"/>
      <c r="G406" s="309"/>
      <c r="H406" s="309"/>
      <c r="I406" s="309"/>
    </row>
    <row r="407">
      <c r="D407" s="309"/>
      <c r="E407" s="309"/>
      <c r="F407" s="309"/>
      <c r="G407" s="309"/>
      <c r="H407" s="309"/>
      <c r="I407" s="309"/>
    </row>
    <row r="408">
      <c r="D408" s="309"/>
      <c r="E408" s="309"/>
      <c r="F408" s="309"/>
      <c r="G408" s="309"/>
      <c r="H408" s="309"/>
      <c r="I408" s="309"/>
    </row>
    <row r="409">
      <c r="D409" s="309"/>
      <c r="E409" s="309"/>
      <c r="F409" s="309"/>
      <c r="G409" s="309"/>
      <c r="H409" s="309"/>
      <c r="I409" s="309"/>
    </row>
    <row r="410">
      <c r="D410" s="309"/>
      <c r="E410" s="309"/>
      <c r="F410" s="309"/>
      <c r="G410" s="309"/>
      <c r="H410" s="309"/>
      <c r="I410" s="309"/>
    </row>
    <row r="411">
      <c r="D411" s="309"/>
      <c r="E411" s="309"/>
      <c r="F411" s="309"/>
      <c r="G411" s="309"/>
      <c r="H411" s="309"/>
      <c r="I411" s="309"/>
    </row>
    <row r="412">
      <c r="D412" s="309"/>
      <c r="E412" s="309"/>
      <c r="F412" s="309"/>
      <c r="G412" s="309"/>
      <c r="H412" s="309"/>
      <c r="I412" s="309"/>
    </row>
    <row r="413">
      <c r="D413" s="309"/>
      <c r="E413" s="309"/>
      <c r="F413" s="309"/>
      <c r="G413" s="309"/>
      <c r="H413" s="309"/>
      <c r="I413" s="309"/>
    </row>
    <row r="414">
      <c r="D414" s="309"/>
      <c r="E414" s="309"/>
      <c r="F414" s="309"/>
      <c r="G414" s="309"/>
      <c r="H414" s="309"/>
      <c r="I414" s="309"/>
    </row>
    <row r="415">
      <c r="D415" s="309"/>
      <c r="E415" s="309"/>
      <c r="F415" s="309"/>
      <c r="G415" s="309"/>
      <c r="H415" s="309"/>
      <c r="I415" s="309"/>
    </row>
    <row r="416">
      <c r="D416" s="309"/>
      <c r="E416" s="309"/>
      <c r="F416" s="309"/>
      <c r="G416" s="309"/>
      <c r="H416" s="309"/>
      <c r="I416" s="309"/>
    </row>
    <row r="417">
      <c r="D417" s="309"/>
      <c r="E417" s="309"/>
      <c r="F417" s="309"/>
      <c r="G417" s="309"/>
      <c r="H417" s="309"/>
      <c r="I417" s="309"/>
    </row>
    <row r="418">
      <c r="D418" s="309"/>
      <c r="E418" s="309"/>
      <c r="F418" s="309"/>
      <c r="G418" s="309"/>
      <c r="H418" s="309"/>
      <c r="I418" s="309"/>
    </row>
    <row r="419">
      <c r="D419" s="309"/>
      <c r="E419" s="309"/>
      <c r="F419" s="309"/>
      <c r="G419" s="309"/>
      <c r="H419" s="309"/>
      <c r="I419" s="309"/>
    </row>
    <row r="420">
      <c r="D420" s="309"/>
      <c r="E420" s="309"/>
      <c r="F420" s="309"/>
      <c r="G420" s="309"/>
      <c r="H420" s="309"/>
      <c r="I420" s="309"/>
    </row>
    <row r="421">
      <c r="D421" s="309"/>
      <c r="E421" s="309"/>
      <c r="F421" s="309"/>
      <c r="G421" s="309"/>
      <c r="H421" s="309"/>
      <c r="I421" s="309"/>
    </row>
    <row r="422">
      <c r="D422" s="309"/>
      <c r="E422" s="309"/>
      <c r="F422" s="309"/>
      <c r="G422" s="309"/>
      <c r="H422" s="309"/>
      <c r="I422" s="309"/>
    </row>
    <row r="423">
      <c r="D423" s="309"/>
      <c r="E423" s="309"/>
      <c r="F423" s="309"/>
      <c r="G423" s="309"/>
      <c r="H423" s="309"/>
      <c r="I423" s="309"/>
    </row>
    <row r="424">
      <c r="D424" s="309"/>
      <c r="E424" s="309"/>
      <c r="F424" s="309"/>
      <c r="G424" s="309"/>
      <c r="H424" s="309"/>
      <c r="I424" s="309"/>
    </row>
    <row r="425">
      <c r="D425" s="309"/>
      <c r="E425" s="309"/>
      <c r="F425" s="309"/>
      <c r="G425" s="309"/>
      <c r="H425" s="309"/>
      <c r="I425" s="309"/>
    </row>
    <row r="426">
      <c r="D426" s="309"/>
      <c r="E426" s="309"/>
      <c r="F426" s="309"/>
      <c r="G426" s="309"/>
      <c r="H426" s="309"/>
      <c r="I426" s="309"/>
    </row>
    <row r="427">
      <c r="D427" s="309"/>
      <c r="E427" s="309"/>
      <c r="F427" s="309"/>
      <c r="G427" s="309"/>
      <c r="H427" s="309"/>
      <c r="I427" s="309"/>
    </row>
    <row r="428">
      <c r="D428" s="309"/>
      <c r="E428" s="309"/>
      <c r="F428" s="309"/>
      <c r="G428" s="309"/>
      <c r="H428" s="309"/>
      <c r="I428" s="309"/>
    </row>
    <row r="429">
      <c r="D429" s="309"/>
      <c r="E429" s="309"/>
      <c r="F429" s="309"/>
      <c r="G429" s="309"/>
      <c r="H429" s="309"/>
      <c r="I429" s="309"/>
    </row>
    <row r="430">
      <c r="D430" s="309"/>
      <c r="E430" s="309"/>
      <c r="F430" s="309"/>
      <c r="G430" s="309"/>
      <c r="H430" s="309"/>
      <c r="I430" s="309"/>
    </row>
    <row r="431">
      <c r="D431" s="309"/>
      <c r="E431" s="309"/>
      <c r="F431" s="309"/>
      <c r="G431" s="309"/>
      <c r="H431" s="309"/>
      <c r="I431" s="309"/>
    </row>
    <row r="432">
      <c r="D432" s="309"/>
      <c r="E432" s="309"/>
      <c r="F432" s="309"/>
      <c r="G432" s="309"/>
      <c r="H432" s="309"/>
      <c r="I432" s="309"/>
    </row>
    <row r="433">
      <c r="D433" s="309"/>
      <c r="E433" s="309"/>
      <c r="F433" s="309"/>
      <c r="G433" s="309"/>
      <c r="H433" s="309"/>
      <c r="I433" s="309"/>
    </row>
    <row r="434">
      <c r="D434" s="309"/>
      <c r="E434" s="309"/>
      <c r="F434" s="309"/>
      <c r="G434" s="309"/>
      <c r="H434" s="309"/>
      <c r="I434" s="309"/>
    </row>
    <row r="435">
      <c r="D435" s="309"/>
      <c r="E435" s="309"/>
      <c r="F435" s="309"/>
      <c r="G435" s="309"/>
      <c r="H435" s="309"/>
      <c r="I435" s="309"/>
    </row>
    <row r="436">
      <c r="D436" s="309"/>
      <c r="E436" s="309"/>
      <c r="F436" s="309"/>
      <c r="G436" s="309"/>
      <c r="H436" s="309"/>
      <c r="I436" s="309"/>
    </row>
    <row r="437">
      <c r="D437" s="309"/>
      <c r="E437" s="309"/>
      <c r="F437" s="309"/>
      <c r="G437" s="309"/>
      <c r="H437" s="309"/>
      <c r="I437" s="309"/>
    </row>
    <row r="438">
      <c r="D438" s="309"/>
      <c r="E438" s="309"/>
      <c r="F438" s="309"/>
      <c r="G438" s="309"/>
      <c r="H438" s="309"/>
      <c r="I438" s="309"/>
    </row>
    <row r="439">
      <c r="D439" s="309"/>
      <c r="E439" s="309"/>
      <c r="F439" s="309"/>
      <c r="G439" s="309"/>
      <c r="H439" s="309"/>
      <c r="I439" s="309"/>
    </row>
    <row r="440">
      <c r="D440" s="309"/>
      <c r="E440" s="309"/>
      <c r="F440" s="309"/>
      <c r="G440" s="309"/>
      <c r="H440" s="309"/>
      <c r="I440" s="309"/>
    </row>
    <row r="441">
      <c r="D441" s="309"/>
      <c r="E441" s="309"/>
      <c r="F441" s="309"/>
      <c r="G441" s="309"/>
      <c r="H441" s="309"/>
      <c r="I441" s="309"/>
    </row>
    <row r="442">
      <c r="D442" s="309"/>
      <c r="E442" s="309"/>
      <c r="F442" s="309"/>
      <c r="G442" s="309"/>
      <c r="H442" s="309"/>
      <c r="I442" s="309"/>
    </row>
    <row r="443">
      <c r="D443" s="309"/>
      <c r="E443" s="309"/>
      <c r="F443" s="309"/>
      <c r="G443" s="309"/>
      <c r="H443" s="309"/>
      <c r="I443" s="309"/>
    </row>
    <row r="444">
      <c r="D444" s="309"/>
      <c r="E444" s="309"/>
      <c r="F444" s="309"/>
      <c r="G444" s="309"/>
      <c r="H444" s="309"/>
      <c r="I444" s="309"/>
    </row>
    <row r="445">
      <c r="D445" s="309"/>
      <c r="E445" s="309"/>
      <c r="F445" s="309"/>
      <c r="G445" s="309"/>
      <c r="H445" s="309"/>
      <c r="I445" s="309"/>
    </row>
    <row r="446">
      <c r="D446" s="309"/>
      <c r="E446" s="309"/>
      <c r="F446" s="309"/>
      <c r="G446" s="309"/>
      <c r="H446" s="309"/>
      <c r="I446" s="309"/>
    </row>
    <row r="447">
      <c r="D447" s="309"/>
      <c r="E447" s="309"/>
      <c r="F447" s="309"/>
      <c r="G447" s="309"/>
      <c r="H447" s="309"/>
      <c r="I447" s="309"/>
    </row>
    <row r="448">
      <c r="D448" s="309"/>
      <c r="E448" s="309"/>
      <c r="F448" s="309"/>
      <c r="G448" s="309"/>
      <c r="H448" s="309"/>
      <c r="I448" s="309"/>
    </row>
    <row r="449">
      <c r="D449" s="309"/>
      <c r="E449" s="309"/>
      <c r="F449" s="309"/>
      <c r="G449" s="309"/>
      <c r="H449" s="309"/>
      <c r="I449" s="309"/>
    </row>
    <row r="450">
      <c r="D450" s="309"/>
      <c r="E450" s="309"/>
      <c r="F450" s="309"/>
      <c r="G450" s="309"/>
      <c r="H450" s="309"/>
      <c r="I450" s="309"/>
    </row>
    <row r="451">
      <c r="D451" s="309"/>
      <c r="E451" s="309"/>
      <c r="F451" s="309"/>
      <c r="G451" s="309"/>
      <c r="H451" s="309"/>
      <c r="I451" s="309"/>
    </row>
    <row r="452">
      <c r="D452" s="309"/>
      <c r="E452" s="309"/>
      <c r="F452" s="309"/>
      <c r="G452" s="309"/>
      <c r="H452" s="309"/>
      <c r="I452" s="309"/>
    </row>
    <row r="453">
      <c r="D453" s="309"/>
      <c r="E453" s="309"/>
      <c r="F453" s="309"/>
      <c r="G453" s="309"/>
      <c r="H453" s="309"/>
      <c r="I453" s="309"/>
    </row>
    <row r="454">
      <c r="D454" s="309"/>
      <c r="E454" s="309"/>
      <c r="F454" s="309"/>
      <c r="G454" s="309"/>
      <c r="H454" s="309"/>
      <c r="I454" s="309"/>
    </row>
    <row r="455">
      <c r="D455" s="309"/>
      <c r="E455" s="309"/>
      <c r="F455" s="309"/>
      <c r="G455" s="309"/>
      <c r="H455" s="309"/>
      <c r="I455" s="309"/>
    </row>
    <row r="456">
      <c r="D456" s="309"/>
      <c r="E456" s="309"/>
      <c r="F456" s="309"/>
      <c r="G456" s="309"/>
      <c r="H456" s="309"/>
      <c r="I456" s="309"/>
    </row>
    <row r="457">
      <c r="D457" s="309"/>
      <c r="E457" s="309"/>
      <c r="F457" s="309"/>
      <c r="G457" s="309"/>
      <c r="H457" s="309"/>
      <c r="I457" s="309"/>
    </row>
    <row r="458">
      <c r="D458" s="309"/>
      <c r="E458" s="309"/>
      <c r="F458" s="309"/>
      <c r="G458" s="309"/>
      <c r="H458" s="309"/>
      <c r="I458" s="309"/>
    </row>
    <row r="459">
      <c r="D459" s="309"/>
      <c r="E459" s="309"/>
      <c r="F459" s="309"/>
      <c r="G459" s="309"/>
      <c r="H459" s="309"/>
      <c r="I459" s="309"/>
    </row>
    <row r="460">
      <c r="D460" s="309"/>
      <c r="E460" s="309"/>
      <c r="F460" s="309"/>
      <c r="G460" s="309"/>
      <c r="H460" s="309"/>
      <c r="I460" s="309"/>
    </row>
    <row r="461">
      <c r="D461" s="309"/>
      <c r="E461" s="309"/>
      <c r="F461" s="309"/>
      <c r="G461" s="309"/>
      <c r="H461" s="309"/>
      <c r="I461" s="309"/>
    </row>
    <row r="462">
      <c r="D462" s="309"/>
      <c r="E462" s="309"/>
      <c r="F462" s="309"/>
      <c r="G462" s="309"/>
      <c r="H462" s="309"/>
      <c r="I462" s="309"/>
    </row>
    <row r="463">
      <c r="D463" s="309"/>
      <c r="E463" s="309"/>
      <c r="F463" s="309"/>
      <c r="G463" s="309"/>
      <c r="H463" s="309"/>
      <c r="I463" s="309"/>
    </row>
    <row r="464">
      <c r="D464" s="309"/>
      <c r="E464" s="309"/>
      <c r="F464" s="309"/>
      <c r="G464" s="309"/>
      <c r="H464" s="309"/>
      <c r="I464" s="309"/>
    </row>
    <row r="465">
      <c r="D465" s="309"/>
      <c r="E465" s="309"/>
      <c r="F465" s="309"/>
      <c r="G465" s="309"/>
      <c r="H465" s="309"/>
      <c r="I465" s="309"/>
    </row>
    <row r="466">
      <c r="D466" s="309"/>
      <c r="E466" s="309"/>
      <c r="F466" s="309"/>
      <c r="G466" s="309"/>
      <c r="H466" s="309"/>
      <c r="I466" s="309"/>
    </row>
    <row r="467">
      <c r="D467" s="309"/>
      <c r="E467" s="309"/>
      <c r="F467" s="309"/>
      <c r="G467" s="309"/>
      <c r="H467" s="309"/>
      <c r="I467" s="309"/>
    </row>
    <row r="468">
      <c r="D468" s="309"/>
      <c r="E468" s="309"/>
      <c r="F468" s="309"/>
      <c r="G468" s="309"/>
      <c r="H468" s="309"/>
      <c r="I468" s="309"/>
    </row>
    <row r="469">
      <c r="D469" s="309"/>
      <c r="E469" s="309"/>
      <c r="F469" s="309"/>
      <c r="G469" s="309"/>
      <c r="H469" s="309"/>
      <c r="I469" s="309"/>
    </row>
    <row r="470">
      <c r="D470" s="309"/>
      <c r="E470" s="309"/>
      <c r="F470" s="309"/>
      <c r="G470" s="309"/>
      <c r="H470" s="309"/>
      <c r="I470" s="309"/>
    </row>
    <row r="471">
      <c r="D471" s="309"/>
      <c r="E471" s="309"/>
      <c r="F471" s="309"/>
      <c r="G471" s="309"/>
      <c r="H471" s="309"/>
      <c r="I471" s="309"/>
    </row>
    <row r="472">
      <c r="D472" s="309"/>
      <c r="E472" s="309"/>
      <c r="F472" s="309"/>
      <c r="G472" s="309"/>
      <c r="H472" s="309"/>
      <c r="I472" s="309"/>
    </row>
    <row r="473">
      <c r="D473" s="309"/>
      <c r="E473" s="309"/>
      <c r="F473" s="309"/>
      <c r="G473" s="309"/>
      <c r="H473" s="309"/>
      <c r="I473" s="309"/>
    </row>
    <row r="474">
      <c r="D474" s="309"/>
      <c r="E474" s="309"/>
      <c r="F474" s="309"/>
      <c r="G474" s="309"/>
      <c r="H474" s="309"/>
      <c r="I474" s="309"/>
    </row>
    <row r="475">
      <c r="D475" s="309"/>
      <c r="E475" s="309"/>
      <c r="F475" s="309"/>
      <c r="G475" s="309"/>
      <c r="H475" s="309"/>
      <c r="I475" s="309"/>
    </row>
    <row r="476">
      <c r="D476" s="309"/>
      <c r="E476" s="309"/>
      <c r="F476" s="309"/>
      <c r="G476" s="309"/>
      <c r="H476" s="309"/>
      <c r="I476" s="309"/>
    </row>
    <row r="477">
      <c r="D477" s="309"/>
      <c r="E477" s="309"/>
      <c r="F477" s="309"/>
      <c r="G477" s="309"/>
      <c r="H477" s="309"/>
      <c r="I477" s="309"/>
    </row>
    <row r="478">
      <c r="D478" s="309"/>
      <c r="E478" s="309"/>
      <c r="F478" s="309"/>
      <c r="G478" s="309"/>
      <c r="H478" s="309"/>
      <c r="I478" s="309"/>
    </row>
    <row r="479">
      <c r="D479" s="309"/>
      <c r="E479" s="309"/>
      <c r="F479" s="309"/>
      <c r="G479" s="309"/>
      <c r="H479" s="309"/>
      <c r="I479" s="309"/>
    </row>
    <row r="480">
      <c r="D480" s="309"/>
      <c r="E480" s="309"/>
      <c r="F480" s="309"/>
      <c r="G480" s="309"/>
      <c r="H480" s="309"/>
      <c r="I480" s="309"/>
    </row>
    <row r="481">
      <c r="D481" s="309"/>
      <c r="E481" s="309"/>
      <c r="F481" s="309"/>
      <c r="G481" s="309"/>
      <c r="H481" s="309"/>
      <c r="I481" s="309"/>
    </row>
    <row r="482">
      <c r="D482" s="309"/>
      <c r="E482" s="309"/>
      <c r="F482" s="309"/>
      <c r="G482" s="309"/>
      <c r="H482" s="309"/>
      <c r="I482" s="309"/>
    </row>
    <row r="483">
      <c r="D483" s="309"/>
      <c r="E483" s="309"/>
      <c r="F483" s="309"/>
      <c r="G483" s="309"/>
      <c r="H483" s="309"/>
      <c r="I483" s="309"/>
    </row>
    <row r="484">
      <c r="D484" s="309"/>
      <c r="E484" s="309"/>
      <c r="F484" s="309"/>
      <c r="G484" s="309"/>
      <c r="H484" s="309"/>
      <c r="I484" s="309"/>
    </row>
    <row r="485">
      <c r="D485" s="309"/>
      <c r="E485" s="309"/>
      <c r="F485" s="309"/>
      <c r="G485" s="309"/>
      <c r="H485" s="309"/>
      <c r="I485" s="309"/>
    </row>
    <row r="486">
      <c r="D486" s="309"/>
      <c r="E486" s="309"/>
      <c r="F486" s="309"/>
      <c r="G486" s="309"/>
      <c r="H486" s="309"/>
      <c r="I486" s="309"/>
    </row>
    <row r="487">
      <c r="D487" s="309"/>
      <c r="E487" s="309"/>
      <c r="F487" s="309"/>
      <c r="G487" s="309"/>
      <c r="H487" s="309"/>
      <c r="I487" s="309"/>
    </row>
    <row r="488">
      <c r="D488" s="309"/>
      <c r="E488" s="309"/>
      <c r="F488" s="309"/>
      <c r="G488" s="309"/>
      <c r="H488" s="309"/>
      <c r="I488" s="309"/>
    </row>
    <row r="489">
      <c r="D489" s="309"/>
      <c r="E489" s="309"/>
      <c r="F489" s="309"/>
      <c r="G489" s="309"/>
      <c r="H489" s="309"/>
      <c r="I489" s="309"/>
    </row>
    <row r="490">
      <c r="D490" s="309"/>
      <c r="E490" s="309"/>
      <c r="F490" s="309"/>
      <c r="G490" s="309"/>
      <c r="H490" s="309"/>
      <c r="I490" s="309"/>
    </row>
    <row r="491">
      <c r="D491" s="309"/>
      <c r="E491" s="309"/>
      <c r="F491" s="309"/>
      <c r="G491" s="309"/>
      <c r="H491" s="309"/>
      <c r="I491" s="309"/>
    </row>
    <row r="492">
      <c r="D492" s="309"/>
      <c r="E492" s="309"/>
      <c r="F492" s="309"/>
      <c r="G492" s="309"/>
      <c r="H492" s="309"/>
      <c r="I492" s="309"/>
    </row>
    <row r="493">
      <c r="D493" s="309"/>
      <c r="E493" s="309"/>
      <c r="F493" s="309"/>
      <c r="G493" s="309"/>
      <c r="H493" s="309"/>
      <c r="I493" s="309"/>
    </row>
    <row r="494">
      <c r="D494" s="309"/>
      <c r="E494" s="309"/>
      <c r="F494" s="309"/>
      <c r="G494" s="309"/>
      <c r="H494" s="309"/>
      <c r="I494" s="309"/>
    </row>
    <row r="495">
      <c r="D495" s="309"/>
      <c r="E495" s="309"/>
      <c r="F495" s="309"/>
      <c r="G495" s="309"/>
      <c r="H495" s="309"/>
      <c r="I495" s="309"/>
    </row>
    <row r="496">
      <c r="D496" s="309"/>
      <c r="E496" s="309"/>
      <c r="F496" s="309"/>
      <c r="G496" s="309"/>
      <c r="H496" s="309"/>
      <c r="I496" s="309"/>
    </row>
    <row r="497">
      <c r="D497" s="309"/>
      <c r="E497" s="309"/>
      <c r="F497" s="309"/>
      <c r="G497" s="309"/>
      <c r="H497" s="309"/>
      <c r="I497" s="309"/>
    </row>
    <row r="498">
      <c r="D498" s="309"/>
      <c r="E498" s="309"/>
      <c r="F498" s="309"/>
      <c r="G498" s="309"/>
      <c r="H498" s="309"/>
      <c r="I498" s="309"/>
    </row>
    <row r="499">
      <c r="D499" s="309"/>
      <c r="E499" s="309"/>
      <c r="F499" s="309"/>
      <c r="G499" s="309"/>
      <c r="H499" s="309"/>
      <c r="I499" s="309"/>
    </row>
    <row r="500">
      <c r="D500" s="309"/>
      <c r="E500" s="309"/>
      <c r="F500" s="309"/>
      <c r="G500" s="309"/>
      <c r="H500" s="309"/>
      <c r="I500" s="309"/>
    </row>
    <row r="501">
      <c r="D501" s="309"/>
      <c r="E501" s="309"/>
      <c r="F501" s="309"/>
      <c r="G501" s="309"/>
      <c r="H501" s="309"/>
      <c r="I501" s="309"/>
    </row>
    <row r="502">
      <c r="D502" s="309"/>
      <c r="E502" s="309"/>
      <c r="F502" s="309"/>
      <c r="G502" s="309"/>
      <c r="H502" s="309"/>
      <c r="I502" s="309"/>
    </row>
    <row r="503">
      <c r="D503" s="309"/>
      <c r="E503" s="309"/>
      <c r="F503" s="309"/>
      <c r="G503" s="309"/>
      <c r="H503" s="309"/>
      <c r="I503" s="309"/>
    </row>
    <row r="504">
      <c r="D504" s="309"/>
      <c r="E504" s="309"/>
      <c r="F504" s="309"/>
      <c r="G504" s="309"/>
      <c r="H504" s="309"/>
      <c r="I504" s="309"/>
    </row>
    <row r="505">
      <c r="D505" s="309"/>
      <c r="E505" s="309"/>
      <c r="F505" s="309"/>
      <c r="G505" s="309"/>
      <c r="H505" s="309"/>
      <c r="I505" s="309"/>
    </row>
    <row r="506">
      <c r="D506" s="309"/>
      <c r="E506" s="309"/>
      <c r="F506" s="309"/>
      <c r="G506" s="309"/>
      <c r="H506" s="309"/>
      <c r="I506" s="309"/>
    </row>
    <row r="507">
      <c r="D507" s="309"/>
      <c r="E507" s="309"/>
      <c r="F507" s="309"/>
      <c r="G507" s="309"/>
      <c r="H507" s="309"/>
      <c r="I507" s="309"/>
    </row>
    <row r="508">
      <c r="D508" s="309"/>
      <c r="E508" s="309"/>
      <c r="F508" s="309"/>
      <c r="G508" s="309"/>
      <c r="H508" s="309"/>
      <c r="I508" s="309"/>
    </row>
    <row r="509">
      <c r="D509" s="309"/>
      <c r="E509" s="309"/>
      <c r="F509" s="309"/>
      <c r="G509" s="309"/>
      <c r="H509" s="309"/>
      <c r="I509" s="309"/>
    </row>
    <row r="510">
      <c r="D510" s="309"/>
      <c r="E510" s="309"/>
      <c r="F510" s="309"/>
      <c r="G510" s="309"/>
      <c r="H510" s="309"/>
      <c r="I510" s="309"/>
    </row>
    <row r="511">
      <c r="D511" s="309"/>
      <c r="E511" s="309"/>
      <c r="F511" s="309"/>
      <c r="G511" s="309"/>
      <c r="H511" s="309"/>
      <c r="I511" s="309"/>
    </row>
    <row r="512">
      <c r="D512" s="309"/>
      <c r="E512" s="309"/>
      <c r="F512" s="309"/>
      <c r="G512" s="309"/>
      <c r="H512" s="309"/>
      <c r="I512" s="309"/>
    </row>
    <row r="513">
      <c r="D513" s="309"/>
      <c r="E513" s="309"/>
      <c r="F513" s="309"/>
      <c r="G513" s="309"/>
      <c r="H513" s="309"/>
      <c r="I513" s="309"/>
    </row>
    <row r="514">
      <c r="D514" s="309"/>
      <c r="E514" s="309"/>
      <c r="F514" s="309"/>
      <c r="G514" s="309"/>
      <c r="H514" s="309"/>
      <c r="I514" s="309"/>
    </row>
    <row r="515">
      <c r="D515" s="309"/>
      <c r="E515" s="309"/>
      <c r="F515" s="309"/>
      <c r="G515" s="309"/>
      <c r="H515" s="309"/>
      <c r="I515" s="309"/>
    </row>
    <row r="516">
      <c r="D516" s="309"/>
      <c r="E516" s="309"/>
      <c r="F516" s="309"/>
      <c r="G516" s="309"/>
      <c r="H516" s="309"/>
      <c r="I516" s="309"/>
    </row>
    <row r="517">
      <c r="D517" s="309"/>
      <c r="E517" s="309"/>
      <c r="F517" s="309"/>
      <c r="G517" s="309"/>
      <c r="H517" s="309"/>
      <c r="I517" s="309"/>
    </row>
    <row r="518">
      <c r="D518" s="309"/>
      <c r="E518" s="309"/>
      <c r="F518" s="309"/>
      <c r="G518" s="309"/>
      <c r="H518" s="309"/>
      <c r="I518" s="309"/>
    </row>
    <row r="519">
      <c r="D519" s="309"/>
      <c r="E519" s="309"/>
      <c r="F519" s="309"/>
      <c r="G519" s="309"/>
      <c r="H519" s="309"/>
      <c r="I519" s="309"/>
    </row>
    <row r="520">
      <c r="D520" s="309"/>
      <c r="E520" s="309"/>
      <c r="F520" s="309"/>
      <c r="G520" s="309"/>
      <c r="H520" s="309"/>
      <c r="I520" s="309"/>
    </row>
    <row r="521">
      <c r="D521" s="309"/>
      <c r="E521" s="309"/>
      <c r="F521" s="309"/>
      <c r="G521" s="309"/>
      <c r="H521" s="309"/>
      <c r="I521" s="309"/>
    </row>
    <row r="522">
      <c r="D522" s="309"/>
      <c r="E522" s="309"/>
      <c r="F522" s="309"/>
      <c r="G522" s="309"/>
      <c r="H522" s="309"/>
      <c r="I522" s="309"/>
    </row>
    <row r="523">
      <c r="D523" s="309"/>
      <c r="E523" s="309"/>
      <c r="F523" s="309"/>
      <c r="G523" s="309"/>
      <c r="H523" s="309"/>
      <c r="I523" s="309"/>
    </row>
    <row r="524">
      <c r="D524" s="309"/>
      <c r="E524" s="309"/>
      <c r="F524" s="309"/>
      <c r="G524" s="309"/>
      <c r="H524" s="309"/>
      <c r="I524" s="309"/>
    </row>
    <row r="525">
      <c r="D525" s="309"/>
      <c r="E525" s="309"/>
      <c r="F525" s="309"/>
      <c r="G525" s="309"/>
      <c r="H525" s="309"/>
      <c r="I525" s="309"/>
    </row>
    <row r="526">
      <c r="D526" s="309"/>
      <c r="E526" s="309"/>
      <c r="F526" s="309"/>
      <c r="G526" s="309"/>
      <c r="H526" s="309"/>
      <c r="I526" s="309"/>
    </row>
    <row r="527">
      <c r="D527" s="309"/>
      <c r="E527" s="309"/>
      <c r="F527" s="309"/>
      <c r="G527" s="309"/>
      <c r="H527" s="309"/>
      <c r="I527" s="309"/>
    </row>
    <row r="528">
      <c r="D528" s="309"/>
      <c r="E528" s="309"/>
      <c r="F528" s="309"/>
      <c r="G528" s="309"/>
      <c r="H528" s="309"/>
      <c r="I528" s="309"/>
    </row>
    <row r="529">
      <c r="D529" s="309"/>
      <c r="E529" s="309"/>
      <c r="F529" s="309"/>
      <c r="G529" s="309"/>
      <c r="H529" s="309"/>
      <c r="I529" s="309"/>
    </row>
    <row r="530">
      <c r="D530" s="309"/>
      <c r="E530" s="309"/>
      <c r="F530" s="309"/>
      <c r="G530" s="309"/>
      <c r="H530" s="309"/>
      <c r="I530" s="309"/>
    </row>
    <row r="531">
      <c r="D531" s="309"/>
      <c r="E531" s="309"/>
      <c r="F531" s="309"/>
      <c r="G531" s="309"/>
      <c r="H531" s="309"/>
      <c r="I531" s="309"/>
    </row>
    <row r="532">
      <c r="D532" s="309"/>
      <c r="E532" s="309"/>
      <c r="F532" s="309"/>
      <c r="G532" s="309"/>
      <c r="H532" s="309"/>
      <c r="I532" s="309"/>
    </row>
    <row r="533">
      <c r="D533" s="309"/>
      <c r="E533" s="309"/>
      <c r="F533" s="309"/>
      <c r="G533" s="309"/>
      <c r="H533" s="309"/>
      <c r="I533" s="309"/>
    </row>
    <row r="534">
      <c r="D534" s="309"/>
      <c r="E534" s="309"/>
      <c r="F534" s="309"/>
      <c r="G534" s="309"/>
      <c r="H534" s="309"/>
      <c r="I534" s="309"/>
    </row>
    <row r="535">
      <c r="D535" s="309"/>
      <c r="E535" s="309"/>
      <c r="F535" s="309"/>
      <c r="G535" s="309"/>
      <c r="H535" s="309"/>
      <c r="I535" s="309"/>
    </row>
    <row r="536">
      <c r="D536" s="309"/>
      <c r="E536" s="309"/>
      <c r="F536" s="309"/>
      <c r="G536" s="309"/>
      <c r="H536" s="309"/>
      <c r="I536" s="309"/>
    </row>
    <row r="537">
      <c r="D537" s="309"/>
      <c r="E537" s="309"/>
      <c r="F537" s="309"/>
      <c r="G537" s="309"/>
      <c r="H537" s="309"/>
      <c r="I537" s="309"/>
    </row>
    <row r="538">
      <c r="D538" s="309"/>
      <c r="E538" s="309"/>
      <c r="F538" s="309"/>
      <c r="G538" s="309"/>
      <c r="H538" s="309"/>
      <c r="I538" s="309"/>
    </row>
    <row r="539">
      <c r="D539" s="309"/>
      <c r="E539" s="309"/>
      <c r="F539" s="309"/>
      <c r="G539" s="309"/>
      <c r="H539" s="309"/>
      <c r="I539" s="309"/>
    </row>
    <row r="540">
      <c r="D540" s="309"/>
      <c r="E540" s="309"/>
      <c r="F540" s="309"/>
      <c r="G540" s="309"/>
      <c r="H540" s="309"/>
      <c r="I540" s="309"/>
    </row>
    <row r="541">
      <c r="D541" s="309"/>
      <c r="E541" s="309"/>
      <c r="F541" s="309"/>
      <c r="G541" s="309"/>
      <c r="H541" s="309"/>
      <c r="I541" s="309"/>
    </row>
    <row r="542">
      <c r="D542" s="309"/>
      <c r="E542" s="309"/>
      <c r="F542" s="309"/>
      <c r="G542" s="309"/>
      <c r="H542" s="309"/>
      <c r="I542" s="309"/>
    </row>
    <row r="543">
      <c r="D543" s="309"/>
      <c r="E543" s="309"/>
      <c r="F543" s="309"/>
      <c r="G543" s="309"/>
      <c r="H543" s="309"/>
      <c r="I543" s="309"/>
    </row>
    <row r="544">
      <c r="D544" s="309"/>
      <c r="E544" s="309"/>
      <c r="F544" s="309"/>
      <c r="G544" s="309"/>
      <c r="H544" s="309"/>
      <c r="I544" s="309"/>
    </row>
    <row r="545">
      <c r="D545" s="309"/>
      <c r="E545" s="309"/>
      <c r="F545" s="309"/>
      <c r="G545" s="309"/>
      <c r="H545" s="309"/>
      <c r="I545" s="309"/>
    </row>
    <row r="546">
      <c r="D546" s="309"/>
      <c r="E546" s="309"/>
      <c r="F546" s="309"/>
      <c r="G546" s="309"/>
      <c r="H546" s="309"/>
      <c r="I546" s="309"/>
    </row>
    <row r="547">
      <c r="D547" s="309"/>
      <c r="E547" s="309"/>
      <c r="F547" s="309"/>
      <c r="G547" s="309"/>
      <c r="H547" s="309"/>
      <c r="I547" s="309"/>
    </row>
    <row r="548">
      <c r="D548" s="309"/>
      <c r="E548" s="309"/>
      <c r="F548" s="309"/>
      <c r="G548" s="309"/>
      <c r="H548" s="309"/>
      <c r="I548" s="309"/>
    </row>
    <row r="549">
      <c r="D549" s="309"/>
      <c r="E549" s="309"/>
      <c r="F549" s="309"/>
      <c r="G549" s="309"/>
      <c r="H549" s="309"/>
      <c r="I549" s="309"/>
    </row>
    <row r="550">
      <c r="D550" s="309"/>
      <c r="E550" s="309"/>
      <c r="F550" s="309"/>
      <c r="G550" s="309"/>
      <c r="H550" s="309"/>
      <c r="I550" s="309"/>
    </row>
    <row r="551">
      <c r="D551" s="309"/>
      <c r="E551" s="309"/>
      <c r="F551" s="309"/>
      <c r="G551" s="309"/>
      <c r="H551" s="309"/>
      <c r="I551" s="309"/>
    </row>
    <row r="552">
      <c r="D552" s="309"/>
      <c r="E552" s="309"/>
      <c r="F552" s="309"/>
      <c r="G552" s="309"/>
      <c r="H552" s="309"/>
      <c r="I552" s="309"/>
    </row>
    <row r="553">
      <c r="D553" s="309"/>
      <c r="E553" s="309"/>
      <c r="F553" s="309"/>
      <c r="G553" s="309"/>
      <c r="H553" s="309"/>
      <c r="I553" s="309"/>
    </row>
    <row r="554">
      <c r="D554" s="309"/>
      <c r="E554" s="309"/>
      <c r="F554" s="309"/>
      <c r="G554" s="309"/>
      <c r="H554" s="309"/>
      <c r="I554" s="309"/>
    </row>
    <row r="555">
      <c r="D555" s="309"/>
      <c r="E555" s="309"/>
      <c r="F555" s="309"/>
      <c r="G555" s="309"/>
      <c r="H555" s="309"/>
      <c r="I555" s="309"/>
    </row>
    <row r="556">
      <c r="D556" s="309"/>
      <c r="E556" s="309"/>
      <c r="F556" s="309"/>
      <c r="G556" s="309"/>
      <c r="H556" s="309"/>
      <c r="I556" s="309"/>
    </row>
    <row r="557">
      <c r="D557" s="309"/>
      <c r="E557" s="309"/>
      <c r="F557" s="309"/>
      <c r="G557" s="309"/>
      <c r="H557" s="309"/>
      <c r="I557" s="309"/>
    </row>
    <row r="558">
      <c r="D558" s="309"/>
      <c r="E558" s="309"/>
      <c r="F558" s="309"/>
      <c r="G558" s="309"/>
      <c r="H558" s="309"/>
      <c r="I558" s="309"/>
    </row>
    <row r="559">
      <c r="D559" s="309"/>
      <c r="E559" s="309"/>
      <c r="F559" s="309"/>
      <c r="G559" s="309"/>
      <c r="H559" s="309"/>
      <c r="I559" s="309"/>
    </row>
    <row r="560">
      <c r="D560" s="309"/>
      <c r="E560" s="309"/>
      <c r="F560" s="309"/>
      <c r="G560" s="309"/>
      <c r="H560" s="309"/>
      <c r="I560" s="309"/>
    </row>
    <row r="561">
      <c r="D561" s="309"/>
      <c r="E561" s="309"/>
      <c r="F561" s="309"/>
      <c r="G561" s="309"/>
      <c r="H561" s="309"/>
      <c r="I561" s="309"/>
    </row>
    <row r="562">
      <c r="D562" s="309"/>
      <c r="E562" s="309"/>
      <c r="F562" s="309"/>
      <c r="G562" s="309"/>
      <c r="H562" s="309"/>
      <c r="I562" s="309"/>
    </row>
    <row r="563">
      <c r="D563" s="309"/>
      <c r="E563" s="309"/>
      <c r="F563" s="309"/>
      <c r="G563" s="309"/>
      <c r="H563" s="309"/>
      <c r="I563" s="309"/>
    </row>
    <row r="564">
      <c r="D564" s="309"/>
      <c r="E564" s="309"/>
      <c r="F564" s="309"/>
      <c r="G564" s="309"/>
      <c r="H564" s="309"/>
      <c r="I564" s="309"/>
    </row>
    <row r="565">
      <c r="D565" s="309"/>
      <c r="E565" s="309"/>
      <c r="F565" s="309"/>
      <c r="G565" s="309"/>
      <c r="H565" s="309"/>
      <c r="I565" s="309"/>
    </row>
    <row r="566">
      <c r="D566" s="309"/>
      <c r="E566" s="309"/>
      <c r="F566" s="309"/>
      <c r="G566" s="309"/>
      <c r="H566" s="309"/>
      <c r="I566" s="309"/>
    </row>
    <row r="567">
      <c r="D567" s="309"/>
      <c r="E567" s="309"/>
      <c r="F567" s="309"/>
      <c r="G567" s="309"/>
      <c r="H567" s="309"/>
      <c r="I567" s="309"/>
    </row>
    <row r="568">
      <c r="D568" s="309"/>
      <c r="E568" s="309"/>
      <c r="F568" s="309"/>
      <c r="G568" s="309"/>
      <c r="H568" s="309"/>
      <c r="I568" s="309"/>
    </row>
    <row r="569">
      <c r="D569" s="309"/>
      <c r="E569" s="309"/>
      <c r="F569" s="309"/>
      <c r="G569" s="309"/>
      <c r="H569" s="309"/>
      <c r="I569" s="309"/>
    </row>
    <row r="570">
      <c r="D570" s="309"/>
      <c r="E570" s="309"/>
      <c r="F570" s="309"/>
      <c r="G570" s="309"/>
      <c r="H570" s="309"/>
      <c r="I570" s="309"/>
    </row>
    <row r="571">
      <c r="D571" s="309"/>
      <c r="E571" s="309"/>
      <c r="F571" s="309"/>
      <c r="G571" s="309"/>
      <c r="H571" s="309"/>
      <c r="I571" s="309"/>
    </row>
    <row r="572">
      <c r="D572" s="309"/>
      <c r="E572" s="309"/>
      <c r="F572" s="309"/>
      <c r="G572" s="309"/>
      <c r="H572" s="309"/>
      <c r="I572" s="309"/>
    </row>
    <row r="573">
      <c r="D573" s="309"/>
      <c r="E573" s="309"/>
      <c r="F573" s="309"/>
      <c r="G573" s="309"/>
      <c r="H573" s="309"/>
      <c r="I573" s="309"/>
    </row>
    <row r="574">
      <c r="D574" s="309"/>
      <c r="E574" s="309"/>
      <c r="F574" s="309"/>
      <c r="G574" s="309"/>
      <c r="H574" s="309"/>
      <c r="I574" s="309"/>
    </row>
    <row r="575">
      <c r="D575" s="309"/>
      <c r="E575" s="309"/>
      <c r="F575" s="309"/>
      <c r="G575" s="309"/>
      <c r="H575" s="309"/>
      <c r="I575" s="309"/>
    </row>
    <row r="576">
      <c r="D576" s="309"/>
      <c r="E576" s="309"/>
      <c r="F576" s="309"/>
      <c r="G576" s="309"/>
      <c r="H576" s="309"/>
      <c r="I576" s="309"/>
    </row>
    <row r="577">
      <c r="D577" s="309"/>
      <c r="E577" s="309"/>
      <c r="F577" s="309"/>
      <c r="G577" s="309"/>
      <c r="H577" s="309"/>
      <c r="I577" s="309"/>
    </row>
    <row r="578">
      <c r="D578" s="309"/>
      <c r="E578" s="309"/>
      <c r="F578" s="309"/>
      <c r="G578" s="309"/>
      <c r="H578" s="309"/>
      <c r="I578" s="309"/>
    </row>
    <row r="579">
      <c r="D579" s="309"/>
      <c r="E579" s="309"/>
      <c r="F579" s="309"/>
      <c r="G579" s="309"/>
      <c r="H579" s="309"/>
      <c r="I579" s="309"/>
    </row>
    <row r="580">
      <c r="D580" s="309"/>
      <c r="E580" s="309"/>
      <c r="F580" s="309"/>
      <c r="G580" s="309"/>
      <c r="H580" s="309"/>
      <c r="I580" s="309"/>
    </row>
    <row r="581">
      <c r="D581" s="309"/>
      <c r="E581" s="309"/>
      <c r="F581" s="309"/>
      <c r="G581" s="309"/>
      <c r="H581" s="309"/>
      <c r="I581" s="309"/>
    </row>
    <row r="582">
      <c r="D582" s="309"/>
      <c r="E582" s="309"/>
      <c r="F582" s="309"/>
      <c r="G582" s="309"/>
      <c r="H582" s="309"/>
      <c r="I582" s="309"/>
    </row>
    <row r="583">
      <c r="D583" s="309"/>
      <c r="E583" s="309"/>
      <c r="F583" s="309"/>
      <c r="G583" s="309"/>
      <c r="H583" s="309"/>
      <c r="I583" s="309"/>
    </row>
    <row r="584">
      <c r="D584" s="309"/>
      <c r="E584" s="309"/>
      <c r="F584" s="309"/>
      <c r="G584" s="309"/>
      <c r="H584" s="309"/>
      <c r="I584" s="309"/>
    </row>
    <row r="585">
      <c r="D585" s="309"/>
      <c r="E585" s="309"/>
      <c r="F585" s="309"/>
      <c r="G585" s="309"/>
      <c r="H585" s="309"/>
      <c r="I585" s="309"/>
    </row>
    <row r="586">
      <c r="D586" s="309"/>
      <c r="E586" s="309"/>
      <c r="F586" s="309"/>
      <c r="G586" s="309"/>
      <c r="H586" s="309"/>
      <c r="I586" s="309"/>
    </row>
    <row r="587">
      <c r="D587" s="309"/>
      <c r="E587" s="309"/>
      <c r="F587" s="309"/>
      <c r="G587" s="309"/>
      <c r="H587" s="309"/>
      <c r="I587" s="309"/>
    </row>
    <row r="588">
      <c r="D588" s="309"/>
      <c r="E588" s="309"/>
      <c r="F588" s="309"/>
      <c r="G588" s="309"/>
      <c r="H588" s="309"/>
      <c r="I588" s="309"/>
    </row>
    <row r="589">
      <c r="D589" s="309"/>
      <c r="E589" s="309"/>
      <c r="F589" s="309"/>
      <c r="G589" s="309"/>
      <c r="H589" s="309"/>
      <c r="I589" s="309"/>
    </row>
    <row r="590">
      <c r="D590" s="309"/>
      <c r="E590" s="309"/>
      <c r="F590" s="309"/>
      <c r="G590" s="309"/>
      <c r="H590" s="309"/>
      <c r="I590" s="309"/>
    </row>
    <row r="591">
      <c r="D591" s="309"/>
      <c r="E591" s="309"/>
      <c r="F591" s="309"/>
      <c r="G591" s="309"/>
      <c r="H591" s="309"/>
      <c r="I591" s="309"/>
    </row>
    <row r="592">
      <c r="D592" s="309"/>
      <c r="E592" s="309"/>
      <c r="F592" s="309"/>
      <c r="G592" s="309"/>
      <c r="H592" s="309"/>
      <c r="I592" s="309"/>
    </row>
    <row r="593">
      <c r="D593" s="309"/>
      <c r="E593" s="309"/>
      <c r="F593" s="309"/>
      <c r="G593" s="309"/>
      <c r="H593" s="309"/>
      <c r="I593" s="309"/>
    </row>
    <row r="594">
      <c r="D594" s="309"/>
      <c r="E594" s="309"/>
      <c r="F594" s="309"/>
      <c r="G594" s="309"/>
      <c r="H594" s="309"/>
      <c r="I594" s="309"/>
    </row>
    <row r="595">
      <c r="D595" s="309"/>
      <c r="E595" s="309"/>
      <c r="F595" s="309"/>
      <c r="G595" s="309"/>
      <c r="H595" s="309"/>
      <c r="I595" s="309"/>
    </row>
    <row r="596">
      <c r="D596" s="309"/>
      <c r="E596" s="309"/>
      <c r="F596" s="309"/>
      <c r="G596" s="309"/>
      <c r="H596" s="309"/>
      <c r="I596" s="309"/>
    </row>
    <row r="597">
      <c r="D597" s="309"/>
      <c r="E597" s="309"/>
      <c r="F597" s="309"/>
      <c r="G597" s="309"/>
      <c r="H597" s="309"/>
      <c r="I597" s="309"/>
    </row>
    <row r="598">
      <c r="D598" s="309"/>
      <c r="E598" s="309"/>
      <c r="F598" s="309"/>
      <c r="G598" s="309"/>
      <c r="H598" s="309"/>
      <c r="I598" s="309"/>
    </row>
    <row r="599">
      <c r="D599" s="309"/>
      <c r="E599" s="309"/>
      <c r="F599" s="309"/>
      <c r="G599" s="309"/>
      <c r="H599" s="309"/>
      <c r="I599" s="309"/>
    </row>
    <row r="600">
      <c r="D600" s="309"/>
      <c r="E600" s="309"/>
      <c r="F600" s="309"/>
      <c r="G600" s="309"/>
      <c r="H600" s="309"/>
      <c r="I600" s="309"/>
    </row>
    <row r="601">
      <c r="D601" s="309"/>
      <c r="E601" s="309"/>
      <c r="F601" s="309"/>
      <c r="G601" s="309"/>
      <c r="H601" s="309"/>
      <c r="I601" s="309"/>
    </row>
    <row r="602">
      <c r="D602" s="309"/>
      <c r="E602" s="309"/>
      <c r="F602" s="309"/>
      <c r="G602" s="309"/>
      <c r="H602" s="309"/>
      <c r="I602" s="309"/>
    </row>
    <row r="603">
      <c r="D603" s="309"/>
      <c r="E603" s="309"/>
      <c r="F603" s="309"/>
      <c r="G603" s="309"/>
      <c r="H603" s="309"/>
      <c r="I603" s="309"/>
    </row>
    <row r="604">
      <c r="D604" s="309"/>
      <c r="E604" s="309"/>
      <c r="F604" s="309"/>
      <c r="G604" s="309"/>
      <c r="H604" s="309"/>
      <c r="I604" s="309"/>
    </row>
    <row r="605">
      <c r="D605" s="309"/>
      <c r="E605" s="309"/>
      <c r="F605" s="309"/>
      <c r="G605" s="309"/>
      <c r="H605" s="309"/>
      <c r="I605" s="309"/>
    </row>
    <row r="606">
      <c r="D606" s="309"/>
      <c r="E606" s="309"/>
      <c r="F606" s="309"/>
      <c r="G606" s="309"/>
      <c r="H606" s="309"/>
      <c r="I606" s="309"/>
    </row>
    <row r="607">
      <c r="D607" s="309"/>
      <c r="E607" s="309"/>
      <c r="F607" s="309"/>
      <c r="G607" s="309"/>
      <c r="H607" s="309"/>
      <c r="I607" s="309"/>
    </row>
    <row r="608">
      <c r="D608" s="309"/>
      <c r="E608" s="309"/>
      <c r="F608" s="309"/>
      <c r="G608" s="309"/>
      <c r="H608" s="309"/>
      <c r="I608" s="309"/>
    </row>
    <row r="609">
      <c r="D609" s="309"/>
      <c r="E609" s="309"/>
      <c r="F609" s="309"/>
      <c r="G609" s="309"/>
      <c r="H609" s="309"/>
      <c r="I609" s="309"/>
    </row>
    <row r="610">
      <c r="D610" s="309"/>
      <c r="E610" s="309"/>
      <c r="F610" s="309"/>
      <c r="G610" s="309"/>
      <c r="H610" s="309"/>
      <c r="I610" s="309"/>
    </row>
    <row r="611">
      <c r="D611" s="309"/>
      <c r="E611" s="309"/>
      <c r="F611" s="309"/>
      <c r="G611" s="309"/>
      <c r="H611" s="309"/>
      <c r="I611" s="309"/>
    </row>
    <row r="612">
      <c r="D612" s="309"/>
      <c r="E612" s="309"/>
      <c r="F612" s="309"/>
      <c r="G612" s="309"/>
      <c r="H612" s="309"/>
      <c r="I612" s="309"/>
    </row>
    <row r="613">
      <c r="D613" s="309"/>
      <c r="E613" s="309"/>
      <c r="F613" s="309"/>
      <c r="G613" s="309"/>
      <c r="H613" s="309"/>
      <c r="I613" s="309"/>
    </row>
    <row r="614">
      <c r="D614" s="309"/>
      <c r="E614" s="309"/>
      <c r="F614" s="309"/>
      <c r="G614" s="309"/>
      <c r="H614" s="309"/>
      <c r="I614" s="309"/>
    </row>
    <row r="615">
      <c r="D615" s="309"/>
      <c r="E615" s="309"/>
      <c r="F615" s="309"/>
      <c r="G615" s="309"/>
      <c r="H615" s="309"/>
      <c r="I615" s="309"/>
    </row>
    <row r="616">
      <c r="D616" s="309"/>
      <c r="E616" s="309"/>
      <c r="F616" s="309"/>
      <c r="G616" s="309"/>
      <c r="H616" s="309"/>
      <c r="I616" s="309"/>
    </row>
    <row r="617">
      <c r="D617" s="309"/>
      <c r="E617" s="309"/>
      <c r="F617" s="309"/>
      <c r="G617" s="309"/>
      <c r="H617" s="309"/>
      <c r="I617" s="309"/>
    </row>
    <row r="618">
      <c r="D618" s="309"/>
      <c r="E618" s="309"/>
      <c r="F618" s="309"/>
      <c r="G618" s="309"/>
      <c r="H618" s="309"/>
      <c r="I618" s="309"/>
    </row>
    <row r="619">
      <c r="D619" s="309"/>
      <c r="E619" s="309"/>
      <c r="F619" s="309"/>
      <c r="G619" s="309"/>
      <c r="H619" s="309"/>
      <c r="I619" s="309"/>
    </row>
    <row r="620">
      <c r="D620" s="309"/>
      <c r="E620" s="309"/>
      <c r="F620" s="309"/>
      <c r="G620" s="309"/>
      <c r="H620" s="309"/>
      <c r="I620" s="309"/>
    </row>
    <row r="621">
      <c r="D621" s="309"/>
      <c r="E621" s="309"/>
      <c r="F621" s="309"/>
      <c r="G621" s="309"/>
      <c r="H621" s="309"/>
      <c r="I621" s="309"/>
    </row>
    <row r="622">
      <c r="D622" s="309"/>
      <c r="E622" s="309"/>
      <c r="F622" s="309"/>
      <c r="G622" s="309"/>
      <c r="H622" s="309"/>
      <c r="I622" s="309"/>
    </row>
    <row r="623">
      <c r="D623" s="309"/>
      <c r="E623" s="309"/>
      <c r="F623" s="309"/>
      <c r="G623" s="309"/>
      <c r="H623" s="309"/>
      <c r="I623" s="309"/>
    </row>
    <row r="624">
      <c r="D624" s="309"/>
      <c r="E624" s="309"/>
      <c r="F624" s="309"/>
      <c r="G624" s="309"/>
      <c r="H624" s="309"/>
      <c r="I624" s="309"/>
    </row>
    <row r="625">
      <c r="D625" s="309"/>
      <c r="E625" s="309"/>
      <c r="F625" s="309"/>
      <c r="G625" s="309"/>
      <c r="H625" s="309"/>
      <c r="I625" s="309"/>
    </row>
    <row r="626">
      <c r="D626" s="309"/>
      <c r="E626" s="309"/>
      <c r="F626" s="309"/>
      <c r="G626" s="309"/>
      <c r="H626" s="309"/>
      <c r="I626" s="309"/>
    </row>
    <row r="627">
      <c r="D627" s="309"/>
      <c r="E627" s="309"/>
      <c r="F627" s="309"/>
      <c r="G627" s="309"/>
      <c r="H627" s="309"/>
      <c r="I627" s="309"/>
    </row>
    <row r="628">
      <c r="D628" s="309"/>
      <c r="E628" s="309"/>
      <c r="F628" s="309"/>
      <c r="G628" s="309"/>
      <c r="H628" s="309"/>
      <c r="I628" s="309"/>
    </row>
    <row r="629">
      <c r="D629" s="309"/>
      <c r="E629" s="309"/>
      <c r="F629" s="309"/>
      <c r="G629" s="309"/>
      <c r="H629" s="309"/>
      <c r="I629" s="309"/>
    </row>
    <row r="630">
      <c r="D630" s="309"/>
      <c r="E630" s="309"/>
      <c r="F630" s="309"/>
      <c r="G630" s="309"/>
      <c r="H630" s="309"/>
      <c r="I630" s="309"/>
    </row>
    <row r="631">
      <c r="D631" s="309"/>
      <c r="E631" s="309"/>
      <c r="F631" s="309"/>
      <c r="G631" s="309"/>
      <c r="H631" s="309"/>
      <c r="I631" s="309"/>
    </row>
    <row r="632">
      <c r="D632" s="309"/>
      <c r="E632" s="309"/>
      <c r="F632" s="309"/>
      <c r="G632" s="309"/>
      <c r="H632" s="309"/>
      <c r="I632" s="309"/>
    </row>
    <row r="633">
      <c r="D633" s="309"/>
      <c r="E633" s="309"/>
      <c r="F633" s="309"/>
      <c r="G633" s="309"/>
      <c r="H633" s="309"/>
      <c r="I633" s="309"/>
    </row>
    <row r="634">
      <c r="D634" s="309"/>
      <c r="E634" s="309"/>
      <c r="F634" s="309"/>
      <c r="G634" s="309"/>
      <c r="H634" s="309"/>
      <c r="I634" s="309"/>
    </row>
    <row r="635">
      <c r="D635" s="309"/>
      <c r="E635" s="309"/>
      <c r="F635" s="309"/>
      <c r="G635" s="309"/>
      <c r="H635" s="309"/>
      <c r="I635" s="309"/>
    </row>
    <row r="636">
      <c r="D636" s="309"/>
      <c r="E636" s="309"/>
      <c r="F636" s="309"/>
      <c r="G636" s="309"/>
      <c r="H636" s="309"/>
      <c r="I636" s="309"/>
    </row>
    <row r="637">
      <c r="D637" s="309"/>
      <c r="E637" s="309"/>
      <c r="F637" s="309"/>
      <c r="G637" s="309"/>
      <c r="H637" s="309"/>
      <c r="I637" s="309"/>
    </row>
    <row r="638">
      <c r="D638" s="309"/>
      <c r="E638" s="309"/>
      <c r="F638" s="309"/>
      <c r="G638" s="309"/>
      <c r="H638" s="309"/>
      <c r="I638" s="309"/>
    </row>
    <row r="639">
      <c r="D639" s="309"/>
      <c r="E639" s="309"/>
      <c r="F639" s="309"/>
      <c r="G639" s="309"/>
      <c r="H639" s="309"/>
      <c r="I639" s="309"/>
    </row>
    <row r="640">
      <c r="D640" s="309"/>
      <c r="E640" s="309"/>
      <c r="F640" s="309"/>
      <c r="G640" s="309"/>
      <c r="H640" s="309"/>
      <c r="I640" s="309"/>
    </row>
    <row r="641">
      <c r="D641" s="309"/>
      <c r="E641" s="309"/>
      <c r="F641" s="309"/>
      <c r="G641" s="309"/>
      <c r="H641" s="309"/>
      <c r="I641" s="309"/>
    </row>
    <row r="642">
      <c r="D642" s="309"/>
      <c r="E642" s="309"/>
      <c r="F642" s="309"/>
      <c r="G642" s="309"/>
      <c r="H642" s="309"/>
      <c r="I642" s="309"/>
    </row>
    <row r="643">
      <c r="D643" s="309"/>
      <c r="E643" s="309"/>
      <c r="F643" s="309"/>
      <c r="G643" s="309"/>
      <c r="H643" s="309"/>
      <c r="I643" s="309"/>
    </row>
    <row r="644">
      <c r="D644" s="309"/>
      <c r="E644" s="309"/>
      <c r="F644" s="309"/>
      <c r="G644" s="309"/>
      <c r="H644" s="309"/>
      <c r="I644" s="309"/>
    </row>
    <row r="645">
      <c r="D645" s="309"/>
      <c r="E645" s="309"/>
      <c r="F645" s="309"/>
      <c r="G645" s="309"/>
      <c r="H645" s="309"/>
      <c r="I645" s="309"/>
    </row>
    <row r="646">
      <c r="D646" s="309"/>
      <c r="E646" s="309"/>
      <c r="F646" s="309"/>
      <c r="G646" s="309"/>
      <c r="H646" s="309"/>
      <c r="I646" s="309"/>
    </row>
    <row r="647">
      <c r="D647" s="309"/>
      <c r="E647" s="309"/>
      <c r="F647" s="309"/>
      <c r="G647" s="309"/>
      <c r="H647" s="309"/>
      <c r="I647" s="309"/>
    </row>
    <row r="648">
      <c r="D648" s="309"/>
      <c r="E648" s="309"/>
      <c r="F648" s="309"/>
      <c r="G648" s="309"/>
      <c r="H648" s="309"/>
      <c r="I648" s="309"/>
    </row>
    <row r="649">
      <c r="D649" s="309"/>
      <c r="E649" s="309"/>
      <c r="F649" s="309"/>
      <c r="G649" s="309"/>
      <c r="H649" s="309"/>
      <c r="I649" s="309"/>
    </row>
    <row r="650">
      <c r="D650" s="309"/>
      <c r="E650" s="309"/>
      <c r="F650" s="309"/>
      <c r="G650" s="309"/>
      <c r="H650" s="309"/>
      <c r="I650" s="309"/>
    </row>
    <row r="651">
      <c r="D651" s="309"/>
      <c r="E651" s="309"/>
      <c r="F651" s="309"/>
      <c r="G651" s="309"/>
      <c r="H651" s="309"/>
      <c r="I651" s="309"/>
    </row>
    <row r="652">
      <c r="D652" s="309"/>
      <c r="E652" s="309"/>
      <c r="F652" s="309"/>
      <c r="G652" s="309"/>
      <c r="H652" s="309"/>
      <c r="I652" s="309"/>
    </row>
    <row r="653">
      <c r="D653" s="309"/>
      <c r="E653" s="309"/>
      <c r="F653" s="309"/>
      <c r="G653" s="309"/>
      <c r="H653" s="309"/>
      <c r="I653" s="309"/>
    </row>
    <row r="654">
      <c r="D654" s="309"/>
      <c r="E654" s="309"/>
      <c r="F654" s="309"/>
      <c r="G654" s="309"/>
      <c r="H654" s="309"/>
      <c r="I654" s="309"/>
    </row>
    <row r="655">
      <c r="D655" s="309"/>
      <c r="E655" s="309"/>
      <c r="F655" s="309"/>
      <c r="G655" s="309"/>
      <c r="H655" s="309"/>
      <c r="I655" s="309"/>
    </row>
    <row r="656">
      <c r="D656" s="309"/>
      <c r="E656" s="309"/>
      <c r="F656" s="309"/>
      <c r="G656" s="309"/>
      <c r="H656" s="309"/>
      <c r="I656" s="309"/>
    </row>
    <row r="657">
      <c r="D657" s="309"/>
      <c r="E657" s="309"/>
      <c r="F657" s="309"/>
      <c r="G657" s="309"/>
      <c r="H657" s="309"/>
      <c r="I657" s="309"/>
    </row>
    <row r="658">
      <c r="D658" s="309"/>
      <c r="E658" s="309"/>
      <c r="F658" s="309"/>
      <c r="G658" s="309"/>
      <c r="H658" s="309"/>
      <c r="I658" s="309"/>
    </row>
    <row r="659">
      <c r="D659" s="309"/>
      <c r="E659" s="309"/>
      <c r="F659" s="309"/>
      <c r="G659" s="309"/>
      <c r="H659" s="309"/>
      <c r="I659" s="309"/>
    </row>
    <row r="660">
      <c r="D660" s="309"/>
      <c r="E660" s="309"/>
      <c r="F660" s="309"/>
      <c r="G660" s="309"/>
      <c r="H660" s="309"/>
      <c r="I660" s="309"/>
    </row>
    <row r="661">
      <c r="D661" s="309"/>
      <c r="E661" s="309"/>
      <c r="F661" s="309"/>
      <c r="G661" s="309"/>
      <c r="H661" s="309"/>
      <c r="I661" s="309"/>
    </row>
    <row r="662">
      <c r="D662" s="309"/>
      <c r="E662" s="309"/>
      <c r="F662" s="309"/>
      <c r="G662" s="309"/>
      <c r="H662" s="309"/>
      <c r="I662" s="309"/>
    </row>
    <row r="663">
      <c r="D663" s="309"/>
      <c r="E663" s="309"/>
      <c r="F663" s="309"/>
      <c r="G663" s="309"/>
      <c r="H663" s="309"/>
      <c r="I663" s="309"/>
    </row>
    <row r="664">
      <c r="D664" s="309"/>
      <c r="E664" s="309"/>
      <c r="F664" s="309"/>
      <c r="G664" s="309"/>
      <c r="H664" s="309"/>
      <c r="I664" s="309"/>
    </row>
    <row r="665">
      <c r="D665" s="309"/>
      <c r="E665" s="309"/>
      <c r="F665" s="309"/>
      <c r="G665" s="309"/>
      <c r="H665" s="309"/>
      <c r="I665" s="309"/>
    </row>
    <row r="666">
      <c r="D666" s="309"/>
      <c r="E666" s="309"/>
      <c r="F666" s="309"/>
      <c r="G666" s="309"/>
      <c r="H666" s="309"/>
      <c r="I666" s="309"/>
    </row>
    <row r="667">
      <c r="D667" s="309"/>
      <c r="E667" s="309"/>
      <c r="F667" s="309"/>
      <c r="G667" s="309"/>
      <c r="H667" s="309"/>
      <c r="I667" s="309"/>
    </row>
    <row r="668">
      <c r="D668" s="309"/>
      <c r="E668" s="309"/>
      <c r="F668" s="309"/>
      <c r="G668" s="309"/>
      <c r="H668" s="309"/>
      <c r="I668" s="309"/>
    </row>
    <row r="669">
      <c r="D669" s="309"/>
      <c r="E669" s="309"/>
      <c r="F669" s="309"/>
      <c r="G669" s="309"/>
      <c r="H669" s="309"/>
      <c r="I669" s="309"/>
    </row>
    <row r="670">
      <c r="D670" s="309"/>
      <c r="E670" s="309"/>
      <c r="F670" s="309"/>
      <c r="G670" s="309"/>
      <c r="H670" s="309"/>
      <c r="I670" s="309"/>
    </row>
    <row r="671">
      <c r="D671" s="309"/>
      <c r="E671" s="309"/>
      <c r="F671" s="309"/>
      <c r="G671" s="309"/>
      <c r="H671" s="309"/>
      <c r="I671" s="309"/>
    </row>
    <row r="672">
      <c r="D672" s="309"/>
      <c r="E672" s="309"/>
      <c r="F672" s="309"/>
      <c r="G672" s="309"/>
      <c r="H672" s="309"/>
      <c r="I672" s="309"/>
    </row>
    <row r="673">
      <c r="D673" s="309"/>
      <c r="E673" s="309"/>
      <c r="F673" s="309"/>
      <c r="G673" s="309"/>
      <c r="H673" s="309"/>
      <c r="I673" s="309"/>
    </row>
    <row r="674">
      <c r="D674" s="309"/>
      <c r="E674" s="309"/>
      <c r="F674" s="309"/>
      <c r="G674" s="309"/>
      <c r="H674" s="309"/>
      <c r="I674" s="309"/>
    </row>
    <row r="675">
      <c r="D675" s="309"/>
      <c r="E675" s="309"/>
      <c r="F675" s="309"/>
      <c r="G675" s="309"/>
      <c r="H675" s="309"/>
      <c r="I675" s="309"/>
    </row>
    <row r="676">
      <c r="D676" s="309"/>
      <c r="E676" s="309"/>
      <c r="F676" s="309"/>
      <c r="G676" s="309"/>
      <c r="H676" s="309"/>
      <c r="I676" s="309"/>
    </row>
    <row r="677">
      <c r="D677" s="309"/>
      <c r="E677" s="309"/>
      <c r="F677" s="309"/>
      <c r="G677" s="309"/>
      <c r="H677" s="309"/>
      <c r="I677" s="309"/>
    </row>
    <row r="678">
      <c r="D678" s="309"/>
      <c r="E678" s="309"/>
      <c r="F678" s="309"/>
      <c r="G678" s="309"/>
      <c r="H678" s="309"/>
      <c r="I678" s="309"/>
    </row>
    <row r="679">
      <c r="D679" s="309"/>
      <c r="E679" s="309"/>
      <c r="F679" s="309"/>
      <c r="G679" s="309"/>
      <c r="H679" s="309"/>
      <c r="I679" s="309"/>
    </row>
    <row r="680">
      <c r="D680" s="309"/>
      <c r="E680" s="309"/>
      <c r="F680" s="309"/>
      <c r="G680" s="309"/>
      <c r="H680" s="309"/>
      <c r="I680" s="309"/>
    </row>
    <row r="681">
      <c r="D681" s="309"/>
      <c r="E681" s="309"/>
      <c r="F681" s="309"/>
      <c r="G681" s="309"/>
      <c r="H681" s="309"/>
      <c r="I681" s="309"/>
    </row>
    <row r="682">
      <c r="D682" s="309"/>
      <c r="E682" s="309"/>
      <c r="F682" s="309"/>
      <c r="G682" s="309"/>
      <c r="H682" s="309"/>
      <c r="I682" s="309"/>
    </row>
    <row r="683">
      <c r="D683" s="309"/>
      <c r="E683" s="309"/>
      <c r="F683" s="309"/>
      <c r="G683" s="309"/>
      <c r="H683" s="309"/>
      <c r="I683" s="309"/>
    </row>
    <row r="684">
      <c r="D684" s="309"/>
      <c r="E684" s="309"/>
      <c r="F684" s="309"/>
      <c r="G684" s="309"/>
      <c r="H684" s="309"/>
      <c r="I684" s="309"/>
    </row>
    <row r="685">
      <c r="D685" s="309"/>
      <c r="E685" s="309"/>
      <c r="F685" s="309"/>
      <c r="G685" s="309"/>
      <c r="H685" s="309"/>
      <c r="I685" s="309"/>
    </row>
    <row r="686">
      <c r="D686" s="309"/>
      <c r="E686" s="309"/>
      <c r="F686" s="309"/>
      <c r="G686" s="309"/>
      <c r="H686" s="309"/>
      <c r="I686" s="309"/>
    </row>
    <row r="687">
      <c r="D687" s="309"/>
      <c r="E687" s="309"/>
      <c r="F687" s="309"/>
      <c r="G687" s="309"/>
      <c r="H687" s="309"/>
      <c r="I687" s="309"/>
    </row>
    <row r="688">
      <c r="D688" s="309"/>
      <c r="E688" s="309"/>
      <c r="F688" s="309"/>
      <c r="G688" s="309"/>
      <c r="H688" s="309"/>
      <c r="I688" s="309"/>
    </row>
    <row r="689">
      <c r="D689" s="309"/>
      <c r="E689" s="309"/>
      <c r="F689" s="309"/>
      <c r="G689" s="309"/>
      <c r="H689" s="309"/>
      <c r="I689" s="309"/>
    </row>
    <row r="690">
      <c r="D690" s="309"/>
      <c r="E690" s="309"/>
      <c r="F690" s="309"/>
      <c r="G690" s="309"/>
      <c r="H690" s="309"/>
      <c r="I690" s="309"/>
    </row>
    <row r="691">
      <c r="D691" s="309"/>
      <c r="E691" s="309"/>
      <c r="F691" s="309"/>
      <c r="G691" s="309"/>
      <c r="H691" s="309"/>
      <c r="I691" s="309"/>
    </row>
    <row r="692">
      <c r="D692" s="309"/>
      <c r="E692" s="309"/>
      <c r="F692" s="309"/>
      <c r="G692" s="309"/>
      <c r="H692" s="309"/>
      <c r="I692" s="309"/>
    </row>
    <row r="693">
      <c r="D693" s="309"/>
      <c r="E693" s="309"/>
      <c r="F693" s="309"/>
      <c r="G693" s="309"/>
      <c r="H693" s="309"/>
      <c r="I693" s="309"/>
    </row>
    <row r="694">
      <c r="D694" s="309"/>
      <c r="E694" s="309"/>
      <c r="F694" s="309"/>
      <c r="G694" s="309"/>
      <c r="H694" s="309"/>
      <c r="I694" s="309"/>
    </row>
    <row r="695">
      <c r="D695" s="309"/>
      <c r="E695" s="309"/>
      <c r="F695" s="309"/>
      <c r="G695" s="309"/>
      <c r="H695" s="309"/>
      <c r="I695" s="309"/>
    </row>
    <row r="696">
      <c r="D696" s="309"/>
      <c r="E696" s="309"/>
      <c r="F696" s="309"/>
      <c r="G696" s="309"/>
      <c r="H696" s="309"/>
      <c r="I696" s="309"/>
    </row>
    <row r="697">
      <c r="D697" s="309"/>
      <c r="E697" s="309"/>
      <c r="F697" s="309"/>
      <c r="G697" s="309"/>
      <c r="H697" s="309"/>
      <c r="I697" s="309"/>
    </row>
    <row r="698">
      <c r="D698" s="309"/>
      <c r="E698" s="309"/>
      <c r="F698" s="309"/>
      <c r="G698" s="309"/>
      <c r="H698" s="309"/>
      <c r="I698" s="309"/>
    </row>
    <row r="699">
      <c r="D699" s="309"/>
      <c r="E699" s="309"/>
      <c r="F699" s="309"/>
      <c r="G699" s="309"/>
      <c r="H699" s="309"/>
      <c r="I699" s="309"/>
    </row>
    <row r="700">
      <c r="D700" s="309"/>
      <c r="E700" s="309"/>
      <c r="F700" s="309"/>
      <c r="G700" s="309"/>
      <c r="H700" s="309"/>
      <c r="I700" s="309"/>
    </row>
    <row r="701">
      <c r="D701" s="309"/>
      <c r="E701" s="309"/>
      <c r="F701" s="309"/>
      <c r="G701" s="309"/>
      <c r="H701" s="309"/>
      <c r="I701" s="309"/>
    </row>
    <row r="702">
      <c r="D702" s="309"/>
      <c r="E702" s="309"/>
      <c r="F702" s="309"/>
      <c r="G702" s="309"/>
      <c r="H702" s="309"/>
      <c r="I702" s="309"/>
    </row>
    <row r="703">
      <c r="D703" s="309"/>
      <c r="E703" s="309"/>
      <c r="F703" s="309"/>
      <c r="G703" s="309"/>
      <c r="H703" s="309"/>
      <c r="I703" s="309"/>
    </row>
    <row r="704">
      <c r="D704" s="309"/>
      <c r="E704" s="309"/>
      <c r="F704" s="309"/>
      <c r="G704" s="309"/>
      <c r="H704" s="309"/>
      <c r="I704" s="309"/>
    </row>
    <row r="705">
      <c r="D705" s="309"/>
      <c r="E705" s="309"/>
      <c r="F705" s="309"/>
      <c r="G705" s="309"/>
      <c r="H705" s="309"/>
      <c r="I705" s="309"/>
    </row>
    <row r="706">
      <c r="D706" s="309"/>
      <c r="E706" s="309"/>
      <c r="F706" s="309"/>
      <c r="G706" s="309"/>
      <c r="H706" s="309"/>
      <c r="I706" s="309"/>
    </row>
    <row r="707">
      <c r="D707" s="309"/>
      <c r="E707" s="309"/>
      <c r="F707" s="309"/>
      <c r="G707" s="309"/>
      <c r="H707" s="309"/>
      <c r="I707" s="309"/>
    </row>
    <row r="708">
      <c r="D708" s="309"/>
      <c r="E708" s="309"/>
      <c r="F708" s="309"/>
      <c r="G708" s="309"/>
      <c r="H708" s="309"/>
      <c r="I708" s="309"/>
    </row>
    <row r="709">
      <c r="D709" s="309"/>
      <c r="E709" s="309"/>
      <c r="F709" s="309"/>
      <c r="G709" s="309"/>
      <c r="H709" s="309"/>
      <c r="I709" s="309"/>
    </row>
    <row r="710">
      <c r="D710" s="309"/>
      <c r="E710" s="309"/>
      <c r="F710" s="309"/>
      <c r="G710" s="309"/>
      <c r="H710" s="309"/>
      <c r="I710" s="309"/>
    </row>
    <row r="711">
      <c r="D711" s="309"/>
      <c r="E711" s="309"/>
      <c r="F711" s="309"/>
      <c r="G711" s="309"/>
      <c r="H711" s="309"/>
      <c r="I711" s="309"/>
    </row>
    <row r="712">
      <c r="D712" s="309"/>
      <c r="E712" s="309"/>
      <c r="F712" s="309"/>
      <c r="G712" s="309"/>
      <c r="H712" s="309"/>
      <c r="I712" s="309"/>
    </row>
    <row r="713">
      <c r="D713" s="309"/>
      <c r="E713" s="309"/>
      <c r="F713" s="309"/>
      <c r="G713" s="309"/>
      <c r="H713" s="309"/>
      <c r="I713" s="309"/>
    </row>
    <row r="714">
      <c r="D714" s="309"/>
      <c r="E714" s="309"/>
      <c r="F714" s="309"/>
      <c r="G714" s="309"/>
      <c r="H714" s="309"/>
      <c r="I714" s="309"/>
    </row>
    <row r="715">
      <c r="D715" s="309"/>
      <c r="E715" s="309"/>
      <c r="F715" s="309"/>
      <c r="G715" s="309"/>
      <c r="H715" s="309"/>
      <c r="I715" s="309"/>
    </row>
    <row r="716">
      <c r="D716" s="309"/>
      <c r="E716" s="309"/>
      <c r="F716" s="309"/>
      <c r="G716" s="309"/>
      <c r="H716" s="309"/>
      <c r="I716" s="309"/>
    </row>
    <row r="717">
      <c r="D717" s="309"/>
      <c r="E717" s="309"/>
      <c r="F717" s="309"/>
      <c r="G717" s="309"/>
      <c r="H717" s="309"/>
      <c r="I717" s="309"/>
    </row>
    <row r="718">
      <c r="D718" s="309"/>
      <c r="E718" s="309"/>
      <c r="F718" s="309"/>
      <c r="G718" s="309"/>
      <c r="H718" s="309"/>
      <c r="I718" s="309"/>
    </row>
    <row r="719">
      <c r="D719" s="309"/>
      <c r="E719" s="309"/>
      <c r="F719" s="309"/>
      <c r="G719" s="309"/>
      <c r="H719" s="309"/>
      <c r="I719" s="309"/>
    </row>
    <row r="720">
      <c r="D720" s="309"/>
      <c r="E720" s="309"/>
      <c r="F720" s="309"/>
      <c r="G720" s="309"/>
      <c r="H720" s="309"/>
      <c r="I720" s="309"/>
    </row>
    <row r="721">
      <c r="D721" s="309"/>
      <c r="E721" s="309"/>
      <c r="F721" s="309"/>
      <c r="G721" s="309"/>
      <c r="H721" s="309"/>
      <c r="I721" s="309"/>
    </row>
    <row r="722">
      <c r="D722" s="309"/>
      <c r="E722" s="309"/>
      <c r="F722" s="309"/>
      <c r="G722" s="309"/>
      <c r="H722" s="309"/>
      <c r="I722" s="309"/>
    </row>
    <row r="723">
      <c r="D723" s="309"/>
      <c r="E723" s="309"/>
      <c r="F723" s="309"/>
      <c r="G723" s="309"/>
      <c r="H723" s="309"/>
      <c r="I723" s="309"/>
    </row>
    <row r="724">
      <c r="D724" s="309"/>
      <c r="E724" s="309"/>
      <c r="F724" s="309"/>
      <c r="G724" s="309"/>
      <c r="H724" s="309"/>
      <c r="I724" s="309"/>
    </row>
    <row r="725">
      <c r="D725" s="309"/>
      <c r="E725" s="309"/>
      <c r="F725" s="309"/>
      <c r="G725" s="309"/>
      <c r="H725" s="309"/>
      <c r="I725" s="309"/>
    </row>
    <row r="726">
      <c r="D726" s="309"/>
      <c r="E726" s="309"/>
      <c r="F726" s="309"/>
      <c r="G726" s="309"/>
      <c r="H726" s="309"/>
      <c r="I726" s="309"/>
    </row>
    <row r="727">
      <c r="D727" s="309"/>
      <c r="E727" s="309"/>
      <c r="F727" s="309"/>
      <c r="G727" s="309"/>
      <c r="H727" s="309"/>
      <c r="I727" s="309"/>
    </row>
    <row r="728">
      <c r="D728" s="309"/>
      <c r="E728" s="309"/>
      <c r="F728" s="309"/>
      <c r="G728" s="309"/>
      <c r="H728" s="309"/>
      <c r="I728" s="309"/>
    </row>
    <row r="729">
      <c r="D729" s="309"/>
      <c r="E729" s="309"/>
      <c r="F729" s="309"/>
      <c r="G729" s="309"/>
      <c r="H729" s="309"/>
      <c r="I729" s="309"/>
    </row>
    <row r="730">
      <c r="D730" s="309"/>
      <c r="E730" s="309"/>
      <c r="F730" s="309"/>
      <c r="G730" s="309"/>
      <c r="H730" s="309"/>
      <c r="I730" s="309"/>
    </row>
    <row r="731">
      <c r="D731" s="309"/>
      <c r="E731" s="309"/>
      <c r="F731" s="309"/>
      <c r="G731" s="309"/>
      <c r="H731" s="309"/>
      <c r="I731" s="309"/>
    </row>
    <row r="732">
      <c r="D732" s="309"/>
      <c r="E732" s="309"/>
      <c r="F732" s="309"/>
      <c r="G732" s="309"/>
      <c r="H732" s="309"/>
      <c r="I732" s="309"/>
    </row>
    <row r="733">
      <c r="D733" s="309"/>
      <c r="E733" s="309"/>
      <c r="F733" s="309"/>
      <c r="G733" s="309"/>
      <c r="H733" s="309"/>
      <c r="I733" s="309"/>
    </row>
    <row r="734">
      <c r="D734" s="309"/>
      <c r="E734" s="309"/>
      <c r="F734" s="309"/>
      <c r="G734" s="309"/>
      <c r="H734" s="309"/>
      <c r="I734" s="309"/>
    </row>
    <row r="735">
      <c r="D735" s="309"/>
      <c r="E735" s="309"/>
      <c r="F735" s="309"/>
      <c r="G735" s="309"/>
      <c r="H735" s="309"/>
      <c r="I735" s="309"/>
    </row>
    <row r="736">
      <c r="D736" s="309"/>
      <c r="E736" s="309"/>
      <c r="F736" s="309"/>
      <c r="G736" s="309"/>
      <c r="H736" s="309"/>
      <c r="I736" s="309"/>
    </row>
    <row r="737">
      <c r="D737" s="309"/>
      <c r="E737" s="309"/>
      <c r="F737" s="309"/>
      <c r="G737" s="309"/>
      <c r="H737" s="309"/>
      <c r="I737" s="309"/>
    </row>
    <row r="738">
      <c r="D738" s="309"/>
      <c r="E738" s="309"/>
      <c r="F738" s="309"/>
      <c r="G738" s="309"/>
      <c r="H738" s="309"/>
      <c r="I738" s="309"/>
    </row>
    <row r="739">
      <c r="D739" s="309"/>
      <c r="E739" s="309"/>
      <c r="F739" s="309"/>
      <c r="G739" s="309"/>
      <c r="H739" s="309"/>
      <c r="I739" s="309"/>
    </row>
    <row r="740">
      <c r="D740" s="309"/>
      <c r="E740" s="309"/>
      <c r="F740" s="309"/>
      <c r="G740" s="309"/>
      <c r="H740" s="309"/>
      <c r="I740" s="309"/>
    </row>
    <row r="741">
      <c r="D741" s="309"/>
      <c r="E741" s="309"/>
      <c r="F741" s="309"/>
      <c r="G741" s="309"/>
      <c r="H741" s="309"/>
      <c r="I741" s="309"/>
    </row>
    <row r="742">
      <c r="D742" s="309"/>
      <c r="E742" s="309"/>
      <c r="F742" s="309"/>
      <c r="G742" s="309"/>
      <c r="H742" s="309"/>
      <c r="I742" s="309"/>
    </row>
    <row r="743">
      <c r="D743" s="309"/>
      <c r="E743" s="309"/>
      <c r="F743" s="309"/>
      <c r="G743" s="309"/>
      <c r="H743" s="309"/>
      <c r="I743" s="309"/>
    </row>
    <row r="744">
      <c r="D744" s="309"/>
      <c r="E744" s="309"/>
      <c r="F744" s="309"/>
      <c r="G744" s="309"/>
      <c r="H744" s="309"/>
      <c r="I744" s="309"/>
    </row>
    <row r="745">
      <c r="D745" s="309"/>
      <c r="E745" s="309"/>
      <c r="F745" s="309"/>
      <c r="G745" s="309"/>
      <c r="H745" s="309"/>
      <c r="I745" s="309"/>
    </row>
    <row r="746">
      <c r="D746" s="309"/>
      <c r="E746" s="309"/>
      <c r="F746" s="309"/>
      <c r="G746" s="309"/>
      <c r="H746" s="309"/>
      <c r="I746" s="309"/>
    </row>
    <row r="747">
      <c r="D747" s="309"/>
      <c r="E747" s="309"/>
      <c r="F747" s="309"/>
      <c r="G747" s="309"/>
      <c r="H747" s="309"/>
      <c r="I747" s="309"/>
    </row>
    <row r="748">
      <c r="D748" s="309"/>
      <c r="E748" s="309"/>
      <c r="F748" s="309"/>
      <c r="G748" s="309"/>
      <c r="H748" s="309"/>
      <c r="I748" s="309"/>
    </row>
    <row r="749">
      <c r="D749" s="309"/>
      <c r="E749" s="309"/>
      <c r="F749" s="309"/>
      <c r="G749" s="309"/>
      <c r="H749" s="309"/>
      <c r="I749" s="309"/>
    </row>
    <row r="750">
      <c r="D750" s="309"/>
      <c r="E750" s="309"/>
      <c r="F750" s="309"/>
      <c r="G750" s="309"/>
      <c r="H750" s="309"/>
      <c r="I750" s="309"/>
    </row>
    <row r="751">
      <c r="D751" s="309"/>
      <c r="E751" s="309"/>
      <c r="F751" s="309"/>
      <c r="G751" s="309"/>
      <c r="H751" s="309"/>
      <c r="I751" s="309"/>
    </row>
    <row r="752">
      <c r="D752" s="309"/>
      <c r="E752" s="309"/>
      <c r="F752" s="309"/>
      <c r="G752" s="309"/>
      <c r="H752" s="309"/>
      <c r="I752" s="309"/>
    </row>
    <row r="753">
      <c r="D753" s="309"/>
      <c r="E753" s="309"/>
      <c r="F753" s="309"/>
      <c r="G753" s="309"/>
      <c r="H753" s="309"/>
      <c r="I753" s="309"/>
    </row>
    <row r="754">
      <c r="D754" s="309"/>
      <c r="E754" s="309"/>
      <c r="F754" s="309"/>
      <c r="G754" s="309"/>
      <c r="H754" s="309"/>
      <c r="I754" s="309"/>
    </row>
    <row r="755">
      <c r="D755" s="309"/>
      <c r="E755" s="309"/>
      <c r="F755" s="309"/>
      <c r="G755" s="309"/>
      <c r="H755" s="309"/>
      <c r="I755" s="309"/>
    </row>
    <row r="756">
      <c r="D756" s="309"/>
      <c r="E756" s="309"/>
      <c r="F756" s="309"/>
      <c r="G756" s="309"/>
      <c r="H756" s="309"/>
      <c r="I756" s="309"/>
    </row>
    <row r="757">
      <c r="D757" s="309"/>
      <c r="E757" s="309"/>
      <c r="F757" s="309"/>
      <c r="G757" s="309"/>
      <c r="H757" s="309"/>
      <c r="I757" s="309"/>
    </row>
    <row r="758">
      <c r="D758" s="309"/>
      <c r="E758" s="309"/>
      <c r="F758" s="309"/>
      <c r="G758" s="309"/>
      <c r="H758" s="309"/>
      <c r="I758" s="309"/>
    </row>
    <row r="759">
      <c r="D759" s="309"/>
      <c r="E759" s="309"/>
      <c r="F759" s="309"/>
      <c r="G759" s="309"/>
      <c r="H759" s="309"/>
      <c r="I759" s="309"/>
    </row>
    <row r="760">
      <c r="D760" s="309"/>
      <c r="E760" s="309"/>
      <c r="F760" s="309"/>
      <c r="G760" s="309"/>
      <c r="H760" s="309"/>
      <c r="I760" s="309"/>
    </row>
    <row r="761">
      <c r="D761" s="309"/>
      <c r="E761" s="309"/>
      <c r="F761" s="309"/>
      <c r="G761" s="309"/>
      <c r="H761" s="309"/>
      <c r="I761" s="309"/>
    </row>
    <row r="762">
      <c r="D762" s="309"/>
      <c r="E762" s="309"/>
      <c r="F762" s="309"/>
      <c r="G762" s="309"/>
      <c r="H762" s="309"/>
      <c r="I762" s="309"/>
    </row>
    <row r="763">
      <c r="D763" s="309"/>
      <c r="E763" s="309"/>
      <c r="F763" s="309"/>
      <c r="G763" s="309"/>
      <c r="H763" s="309"/>
      <c r="I763" s="309"/>
    </row>
    <row r="764">
      <c r="D764" s="309"/>
      <c r="E764" s="309"/>
      <c r="F764" s="309"/>
      <c r="G764" s="309"/>
      <c r="H764" s="309"/>
      <c r="I764" s="309"/>
    </row>
    <row r="765">
      <c r="D765" s="309"/>
      <c r="E765" s="309"/>
      <c r="F765" s="309"/>
      <c r="G765" s="309"/>
      <c r="H765" s="309"/>
      <c r="I765" s="309"/>
    </row>
    <row r="766">
      <c r="D766" s="309"/>
      <c r="E766" s="309"/>
      <c r="F766" s="309"/>
      <c r="G766" s="309"/>
      <c r="H766" s="309"/>
      <c r="I766" s="309"/>
    </row>
    <row r="767">
      <c r="D767" s="309"/>
      <c r="E767" s="309"/>
      <c r="F767" s="309"/>
      <c r="G767" s="309"/>
      <c r="H767" s="309"/>
      <c r="I767" s="309"/>
    </row>
    <row r="768">
      <c r="D768" s="309"/>
      <c r="E768" s="309"/>
      <c r="F768" s="309"/>
      <c r="G768" s="309"/>
      <c r="H768" s="309"/>
      <c r="I768" s="309"/>
    </row>
    <row r="769">
      <c r="D769" s="309"/>
      <c r="E769" s="309"/>
      <c r="F769" s="309"/>
      <c r="G769" s="309"/>
      <c r="H769" s="309"/>
      <c r="I769" s="309"/>
    </row>
  </sheetData>
  <mergeCells count="302">
    <mergeCell ref="D44:H44"/>
    <mergeCell ref="G45:H45"/>
    <mergeCell ref="G46:H46"/>
    <mergeCell ref="G47:H47"/>
    <mergeCell ref="G48:H48"/>
    <mergeCell ref="E49:H49"/>
    <mergeCell ref="E50:H50"/>
    <mergeCell ref="E51:F51"/>
    <mergeCell ref="E52:F52"/>
    <mergeCell ref="E53:F53"/>
    <mergeCell ref="D54:H54"/>
    <mergeCell ref="G55:H55"/>
    <mergeCell ref="G56:H56"/>
    <mergeCell ref="G57:H57"/>
    <mergeCell ref="C2:I2"/>
    <mergeCell ref="D3:H3"/>
    <mergeCell ref="D4:H4"/>
    <mergeCell ref="G5:H5"/>
    <mergeCell ref="G6:H6"/>
    <mergeCell ref="G7:H7"/>
    <mergeCell ref="G8:H8"/>
    <mergeCell ref="E9:H9"/>
    <mergeCell ref="E10:H10"/>
    <mergeCell ref="E11:F11"/>
    <mergeCell ref="E12:F12"/>
    <mergeCell ref="E13:F13"/>
    <mergeCell ref="D14:H14"/>
    <mergeCell ref="G15:H15"/>
    <mergeCell ref="G16:H16"/>
    <mergeCell ref="G17:H17"/>
    <mergeCell ref="G18:H18"/>
    <mergeCell ref="E19:H19"/>
    <mergeCell ref="E20:H20"/>
    <mergeCell ref="E21:F21"/>
    <mergeCell ref="E22:F22"/>
    <mergeCell ref="E23:F23"/>
    <mergeCell ref="D24:H24"/>
    <mergeCell ref="G25:H25"/>
    <mergeCell ref="G26:H26"/>
    <mergeCell ref="G27:H27"/>
    <mergeCell ref="G28:H28"/>
    <mergeCell ref="E29:H29"/>
    <mergeCell ref="E30:H30"/>
    <mergeCell ref="E31:F31"/>
    <mergeCell ref="E32:F32"/>
    <mergeCell ref="E33:F33"/>
    <mergeCell ref="D34:H34"/>
    <mergeCell ref="G35:H35"/>
    <mergeCell ref="G36:H36"/>
    <mergeCell ref="G37:H37"/>
    <mergeCell ref="G38:H38"/>
    <mergeCell ref="E39:H39"/>
    <mergeCell ref="E40:H40"/>
    <mergeCell ref="E41:F41"/>
    <mergeCell ref="E42:F42"/>
    <mergeCell ref="E43:F43"/>
    <mergeCell ref="G58:H58"/>
    <mergeCell ref="E59:H59"/>
    <mergeCell ref="E60:H60"/>
    <mergeCell ref="E61:F61"/>
    <mergeCell ref="E62:F62"/>
    <mergeCell ref="E63:F63"/>
    <mergeCell ref="D64:H64"/>
    <mergeCell ref="G65:H65"/>
    <mergeCell ref="G66:H66"/>
    <mergeCell ref="G67:H67"/>
    <mergeCell ref="G68:H68"/>
    <mergeCell ref="E69:H69"/>
    <mergeCell ref="E70:H70"/>
    <mergeCell ref="E71:F71"/>
    <mergeCell ref="E72:F72"/>
    <mergeCell ref="E73:F73"/>
    <mergeCell ref="D74:H74"/>
    <mergeCell ref="G75:H75"/>
    <mergeCell ref="G76:H76"/>
    <mergeCell ref="G77:H77"/>
    <mergeCell ref="G78:H78"/>
    <mergeCell ref="E79:H79"/>
    <mergeCell ref="E80:H80"/>
    <mergeCell ref="E81:F81"/>
    <mergeCell ref="E82:F82"/>
    <mergeCell ref="E83:F83"/>
    <mergeCell ref="D84:H84"/>
    <mergeCell ref="G85:H85"/>
    <mergeCell ref="G86:H86"/>
    <mergeCell ref="G87:H87"/>
    <mergeCell ref="G88:H88"/>
    <mergeCell ref="E89:H89"/>
    <mergeCell ref="E90:H90"/>
    <mergeCell ref="E91:F91"/>
    <mergeCell ref="E92:F92"/>
    <mergeCell ref="E93:F93"/>
    <mergeCell ref="D94:H94"/>
    <mergeCell ref="G95:H95"/>
    <mergeCell ref="G96:H96"/>
    <mergeCell ref="G97:H97"/>
    <mergeCell ref="G98:H98"/>
    <mergeCell ref="E99:H99"/>
    <mergeCell ref="E100:H100"/>
    <mergeCell ref="E101:F101"/>
    <mergeCell ref="E102:F102"/>
    <mergeCell ref="E103:F103"/>
    <mergeCell ref="D104:H104"/>
    <mergeCell ref="G105:H105"/>
    <mergeCell ref="G106:H106"/>
    <mergeCell ref="G107:H107"/>
    <mergeCell ref="G108:H108"/>
    <mergeCell ref="E109:H109"/>
    <mergeCell ref="E110:H110"/>
    <mergeCell ref="E111:F111"/>
    <mergeCell ref="E112:F112"/>
    <mergeCell ref="E113:F113"/>
    <mergeCell ref="D114:H114"/>
    <mergeCell ref="G115:H115"/>
    <mergeCell ref="G116:H116"/>
    <mergeCell ref="G117:H117"/>
    <mergeCell ref="G118:H118"/>
    <mergeCell ref="E119:H119"/>
    <mergeCell ref="E120:H120"/>
    <mergeCell ref="E121:F121"/>
    <mergeCell ref="E122:F122"/>
    <mergeCell ref="E123:F123"/>
    <mergeCell ref="D124:H124"/>
    <mergeCell ref="G125:H125"/>
    <mergeCell ref="G126:H126"/>
    <mergeCell ref="G127:H127"/>
    <mergeCell ref="G128:H128"/>
    <mergeCell ref="E129:H129"/>
    <mergeCell ref="E130:H130"/>
    <mergeCell ref="E131:F131"/>
    <mergeCell ref="E132:F132"/>
    <mergeCell ref="E133:F133"/>
    <mergeCell ref="D134:H134"/>
    <mergeCell ref="G135:H135"/>
    <mergeCell ref="G136:H136"/>
    <mergeCell ref="G137:H137"/>
    <mergeCell ref="G138:H138"/>
    <mergeCell ref="E139:H139"/>
    <mergeCell ref="E140:H140"/>
    <mergeCell ref="E141:F141"/>
    <mergeCell ref="E142:F142"/>
    <mergeCell ref="E143:F143"/>
    <mergeCell ref="D144:H144"/>
    <mergeCell ref="G145:H145"/>
    <mergeCell ref="G146:H146"/>
    <mergeCell ref="G147:H147"/>
    <mergeCell ref="G148:H148"/>
    <mergeCell ref="E149:H149"/>
    <mergeCell ref="E150:H150"/>
    <mergeCell ref="E151:F151"/>
    <mergeCell ref="E152:F152"/>
    <mergeCell ref="E153:F153"/>
    <mergeCell ref="D154:H154"/>
    <mergeCell ref="G155:H155"/>
    <mergeCell ref="G156:H156"/>
    <mergeCell ref="G157:H157"/>
    <mergeCell ref="G158:H158"/>
    <mergeCell ref="E159:H159"/>
    <mergeCell ref="E160:H160"/>
    <mergeCell ref="E161:F161"/>
    <mergeCell ref="E162:F162"/>
    <mergeCell ref="E163:F163"/>
    <mergeCell ref="D164:H164"/>
    <mergeCell ref="G165:H165"/>
    <mergeCell ref="G166:H166"/>
    <mergeCell ref="G167:H167"/>
    <mergeCell ref="G168:H168"/>
    <mergeCell ref="E169:H169"/>
    <mergeCell ref="E170:H170"/>
    <mergeCell ref="E171:F171"/>
    <mergeCell ref="E172:F172"/>
    <mergeCell ref="E173:F173"/>
    <mergeCell ref="D174:H174"/>
    <mergeCell ref="G175:H175"/>
    <mergeCell ref="G176:H176"/>
    <mergeCell ref="G177:H177"/>
    <mergeCell ref="G178:H178"/>
    <mergeCell ref="E179:H179"/>
    <mergeCell ref="E180:H180"/>
    <mergeCell ref="E181:F181"/>
    <mergeCell ref="E182:F182"/>
    <mergeCell ref="E183:F183"/>
    <mergeCell ref="D184:H184"/>
    <mergeCell ref="G185:H185"/>
    <mergeCell ref="G186:H186"/>
    <mergeCell ref="G187:H187"/>
    <mergeCell ref="G188:H188"/>
    <mergeCell ref="E189:H189"/>
    <mergeCell ref="E190:H190"/>
    <mergeCell ref="E191:F191"/>
    <mergeCell ref="E192:F192"/>
    <mergeCell ref="E193:F193"/>
    <mergeCell ref="D194:H194"/>
    <mergeCell ref="G195:H195"/>
    <mergeCell ref="G196:H196"/>
    <mergeCell ref="G197:H197"/>
    <mergeCell ref="G198:H198"/>
    <mergeCell ref="E199:H199"/>
    <mergeCell ref="E200:H200"/>
    <mergeCell ref="E201:F201"/>
    <mergeCell ref="E202:F202"/>
    <mergeCell ref="E203:F203"/>
    <mergeCell ref="D204:H204"/>
    <mergeCell ref="G205:H205"/>
    <mergeCell ref="G206:H206"/>
    <mergeCell ref="G207:H207"/>
    <mergeCell ref="G208:H208"/>
    <mergeCell ref="E209:H209"/>
    <mergeCell ref="E210:H210"/>
    <mergeCell ref="E211:F211"/>
    <mergeCell ref="D254:H254"/>
    <mergeCell ref="G255:H255"/>
    <mergeCell ref="G256:H256"/>
    <mergeCell ref="G257:H257"/>
    <mergeCell ref="G258:H258"/>
    <mergeCell ref="E259:H259"/>
    <mergeCell ref="E260:H260"/>
    <mergeCell ref="E261:F261"/>
    <mergeCell ref="E262:F262"/>
    <mergeCell ref="E263:F263"/>
    <mergeCell ref="D264:H264"/>
    <mergeCell ref="G265:H265"/>
    <mergeCell ref="G266:H266"/>
    <mergeCell ref="G267:H267"/>
    <mergeCell ref="G275:H275"/>
    <mergeCell ref="G276:H276"/>
    <mergeCell ref="G277:H277"/>
    <mergeCell ref="G278:H278"/>
    <mergeCell ref="E279:H279"/>
    <mergeCell ref="E280:H280"/>
    <mergeCell ref="E281:F281"/>
    <mergeCell ref="E282:F282"/>
    <mergeCell ref="E283:F283"/>
    <mergeCell ref="D284:H284"/>
    <mergeCell ref="G285:H285"/>
    <mergeCell ref="G286:H286"/>
    <mergeCell ref="G287:H287"/>
    <mergeCell ref="G288:H288"/>
    <mergeCell ref="G296:H296"/>
    <mergeCell ref="G297:H297"/>
    <mergeCell ref="G298:H298"/>
    <mergeCell ref="E299:H299"/>
    <mergeCell ref="E300:H300"/>
    <mergeCell ref="E301:F301"/>
    <mergeCell ref="E302:F302"/>
    <mergeCell ref="E303:F303"/>
    <mergeCell ref="E289:H289"/>
    <mergeCell ref="E290:H290"/>
    <mergeCell ref="E291:F291"/>
    <mergeCell ref="E292:F292"/>
    <mergeCell ref="E293:F293"/>
    <mergeCell ref="D294:H294"/>
    <mergeCell ref="G295:H295"/>
    <mergeCell ref="E212:F212"/>
    <mergeCell ref="E213:F213"/>
    <mergeCell ref="D214:H214"/>
    <mergeCell ref="G215:H215"/>
    <mergeCell ref="G216:H216"/>
    <mergeCell ref="G217:H217"/>
    <mergeCell ref="G218:H218"/>
    <mergeCell ref="E219:H219"/>
    <mergeCell ref="E220:H220"/>
    <mergeCell ref="E221:F221"/>
    <mergeCell ref="E222:F222"/>
    <mergeCell ref="E223:F223"/>
    <mergeCell ref="D224:H224"/>
    <mergeCell ref="G225:H225"/>
    <mergeCell ref="G226:H226"/>
    <mergeCell ref="G227:H227"/>
    <mergeCell ref="G228:H228"/>
    <mergeCell ref="E229:H229"/>
    <mergeCell ref="E230:H230"/>
    <mergeCell ref="E231:F231"/>
    <mergeCell ref="E232:F232"/>
    <mergeCell ref="E233:F233"/>
    <mergeCell ref="D234:H234"/>
    <mergeCell ref="G235:H235"/>
    <mergeCell ref="G236:H236"/>
    <mergeCell ref="G237:H237"/>
    <mergeCell ref="G238:H238"/>
    <mergeCell ref="E239:H239"/>
    <mergeCell ref="E240:H240"/>
    <mergeCell ref="E241:F241"/>
    <mergeCell ref="E242:F242"/>
    <mergeCell ref="E243:F243"/>
    <mergeCell ref="D244:H244"/>
    <mergeCell ref="G245:H245"/>
    <mergeCell ref="G246:H246"/>
    <mergeCell ref="G247:H247"/>
    <mergeCell ref="G248:H248"/>
    <mergeCell ref="E249:H249"/>
    <mergeCell ref="E250:H250"/>
    <mergeCell ref="E251:F251"/>
    <mergeCell ref="E252:F252"/>
    <mergeCell ref="E253:F253"/>
    <mergeCell ref="G268:H268"/>
    <mergeCell ref="E269:H269"/>
    <mergeCell ref="E270:H270"/>
    <mergeCell ref="E271:F271"/>
    <mergeCell ref="E272:F272"/>
    <mergeCell ref="E273:F273"/>
    <mergeCell ref="D274:H274"/>
  </mergeCells>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3" priority="1" operator="equal">
      <formula>"A"</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4" priority="2" operator="equal">
      <formula>"B"</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5" priority="3" operator="equal">
      <formula>"C1"</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6" priority="4" operator="equal">
      <formula>"C2"</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7" priority="5" operator="equal">
      <formula>"D"</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8" priority="6" operator="equal">
      <formula>"R"</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9" priority="7" operator="equal">
      <formula>"N"</formula>
    </cfRule>
  </conditionalFormatting>
  <printOptions gridLines="1" horizontalCentered="1"/>
  <pageMargins bottom="0.75" footer="0.0" header="0.0" left="0.7" right="0.7" top="0.75"/>
  <pageSetup fitToHeight="0" paperSize="9" cellComments="atEnd" orientation="portrait" pageOrder="overThenDown"/>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1" width="4.25"/>
    <col customWidth="1" hidden="1" min="2" max="2" width="7.13"/>
    <col customWidth="1" min="3" max="3" width="1.75"/>
    <col customWidth="1" min="4" max="8" width="6.38"/>
    <col customWidth="1" min="9" max="9" width="0.38"/>
  </cols>
  <sheetData>
    <row r="1" ht="25.5" hidden="1" customHeight="1"/>
    <row r="2" ht="6.0" customHeight="1">
      <c r="B2" s="268"/>
      <c r="C2" s="268"/>
    </row>
    <row r="3" ht="48.0" customHeight="1">
      <c r="D3" s="314" t="s">
        <v>118</v>
      </c>
    </row>
    <row r="4" ht="20.25" customHeight="1">
      <c r="D4" s="270">
        <f>NOW()</f>
        <v>46082.17201</v>
      </c>
    </row>
    <row r="5" ht="27.0" customHeight="1">
      <c r="A5" s="86" t="s">
        <v>68</v>
      </c>
      <c r="B5" s="86">
        <v>1.0</v>
      </c>
      <c r="D5" s="271" t="s">
        <v>80</v>
      </c>
      <c r="E5" s="272" t="s">
        <v>81</v>
      </c>
      <c r="F5" s="272" t="s">
        <v>82</v>
      </c>
      <c r="G5" s="273" t="s">
        <v>49</v>
      </c>
      <c r="H5" s="274"/>
    </row>
    <row r="6" ht="27.0" customHeight="1">
      <c r="A6" s="86"/>
      <c r="B6" s="86" t="s">
        <v>116</v>
      </c>
      <c r="D6" s="275">
        <f t="array" ref="D6">IFERROR(INDEX('計測入力シート（ここのみ編集可）'!$BN$17:$BN$116,MATCH(A5&amp;B5,'計測入力シート（ここのみ編集可）'!$BO$17:$BO$116,0)),"")</f>
        <v>1</v>
      </c>
      <c r="E6" s="276">
        <f t="array" ref="E6">IFERROR(INDEX('計測入力シート（ここのみ編集可）'!$BP$17:$BP$116,MATCH(A5&amp;B5,'計測入力シート（ここのみ編集可）'!$BO$17:$BO$116,0)),"")</f>
        <v>3</v>
      </c>
      <c r="F6" s="277" t="str">
        <f t="array" ref="F6">IFERROR(INDEX('計測入力シート（ここのみ編集可）'!$BR$17:$BR$116,MATCH(A5&amp;B5,'計測入力シート（ここのみ編集可）'!$BO$17:$BO$116,0)),"")</f>
        <v>-</v>
      </c>
      <c r="G6" s="278">
        <f t="array" ref="G6">IFERROR(INDEX('計測入力シート（ここのみ編集可）'!$BL$17:$BL$116,MATCH(A5&amp;B5,'計測入力シート（ここのみ編集可）'!$BO$17:$BO$116,0)),"")</f>
        <v>34</v>
      </c>
      <c r="H6" s="279"/>
    </row>
    <row r="7" ht="27.0" customHeight="1">
      <c r="D7" s="280" t="s">
        <v>2</v>
      </c>
      <c r="E7" s="281">
        <f t="array" ref="E7">IFERROR(INDEX('計測入力シート（ここのみ編集可）'!$C$17:$C$116,MATCH(A5&amp;B5,'計測入力シート（ここのみ編集可）'!$BO$17:$BO$116,0)),"")</f>
        <v>16</v>
      </c>
      <c r="F7" s="282" t="s">
        <v>17</v>
      </c>
      <c r="G7" s="283" t="str">
        <f t="array" ref="G7">IFERROR(INDEX('計測入力シート（ここのみ編集可）'!$D$17:$D$116,MATCH(A5&amp;B5,'計測入力シート（ここのみ編集可）'!$BO$17:$BO$116,0)),"")</f>
        <v>ホッシー</v>
      </c>
      <c r="H7" s="284"/>
    </row>
    <row r="8" ht="27.0" customHeight="1">
      <c r="D8" s="285" t="s">
        <v>1</v>
      </c>
      <c r="E8" s="286" t="str">
        <f t="array" ref="E8">IFERROR(INDEX('計測入力シート（ここのみ編集可）'!$B$17:$B$116,MATCH(A5&amp;B5,'計測入力シート（ここのみ編集可）'!$BO$17:$BO$116,0)),"")</f>
        <v>R</v>
      </c>
      <c r="F8" s="287" t="s">
        <v>18</v>
      </c>
      <c r="G8" s="288" t="str">
        <f t="array" ref="G8">IFERROR(INDEX('計測入力シート（ここのみ編集可）'!$E$17:$E$116,MATCH(A5&amp;B5,'計測入力シート（ここのみ編集可）'!$BO$17:$BO$116,0)),"")</f>
        <v>Ninja250</v>
      </c>
      <c r="H8" s="289"/>
    </row>
    <row r="9" ht="24.75" customHeight="1">
      <c r="D9" s="290" t="s">
        <v>92</v>
      </c>
      <c r="E9" s="291" t="str">
        <f t="array" ref="E9">IFERROR(INDEX(#REF!,MATCH(A5&amp;B5,'計測入力シート（ここのみ編集可）'!$BO$17:$BO$116,0)),"")</f>
        <v/>
      </c>
      <c r="H9" s="232"/>
    </row>
    <row r="10" ht="52.5" customHeight="1">
      <c r="D10" s="292" t="s">
        <v>100</v>
      </c>
      <c r="E10" s="293" t="str">
        <f t="array" ref="E10">IFERROR(INDEX(#REF!,MATCH(A5&amp;B5,'計測入力シート（ここのみ編集可）'!$BO$17:$BO$116,0)),"")</f>
        <v/>
      </c>
      <c r="F10" s="95"/>
      <c r="G10" s="95"/>
      <c r="H10" s="96"/>
    </row>
    <row r="11" ht="20.25" customHeight="1">
      <c r="D11" s="294" t="s">
        <v>39</v>
      </c>
      <c r="E11" s="295" t="str">
        <f t="array" ref="E11">IFERROR(INDEX('計測入力シート（ここのみ編集可）'!$AW$17:$AW$116,MATCH(A5&amp;B5,'計測入力シート（ここのみ編集可）'!$BO$17:$BO$116,0)),"")</f>
        <v>2:00:341</v>
      </c>
      <c r="F11" s="296"/>
      <c r="G11" s="297" t="s">
        <v>110</v>
      </c>
      <c r="H11" s="298">
        <f t="array" ref="H11">IFERROR(INDEX('計測入力シート（ここのみ編集可）'!$AY$17:$AY$116,MATCH(A5&amp;B5,'計測入力シート（ここのみ編集可）'!$BO$17:$BO$116,0)),"")</f>
        <v>1</v>
      </c>
    </row>
    <row r="12" ht="20.25" customHeight="1">
      <c r="D12" s="299" t="s">
        <v>42</v>
      </c>
      <c r="E12" s="300" t="str">
        <f t="array" ref="E12">IFERROR(INDEX('計測入力シート（ここのみ編集可）'!$AZ$17:$AZ$116,MATCH(A5&amp;B5,'計測入力シート（ここのみ編集可）'!$BO$17:$BO$116,0)),"")</f>
        <v>1:57:711</v>
      </c>
      <c r="F12" s="116"/>
      <c r="G12" s="301" t="s">
        <v>111</v>
      </c>
      <c r="H12" s="302" t="str">
        <f t="array" ref="H12">IFERROR(INDEX('計測入力シート（ここのみ編集可）'!$BB$17:$BB$116,MATCH(A5&amp;B5,'計測入力シート（ここのみ編集可）'!$BO$17:$BO$116,0)),"")</f>
        <v>-</v>
      </c>
    </row>
    <row r="13" ht="20.25" customHeight="1">
      <c r="D13" s="303" t="s">
        <v>112</v>
      </c>
      <c r="E13" s="304" t="str">
        <f t="array" ref="E13">IFERROR(INDEX('計測入力シート（ここのみ編集可）'!$BC$17:$BC$116,MATCH(A5&amp;B5,'計測入力シート（ここのみ編集可）'!$BO$17:$BO$116,0)),"")</f>
        <v>1:57:711</v>
      </c>
      <c r="F13" s="305"/>
      <c r="G13" s="306" t="s">
        <v>25</v>
      </c>
      <c r="H13" s="307">
        <f t="array" ref="H13">IFERROR(INDEX('計測入力シート（ここのみ編集可）'!$BD$17:$BD$116,MATCH(A5&amp;B5,'計測入力シート（ここのみ編集可）'!$BO$17:$BO$116,0)),"")</f>
        <v>1.20598119</v>
      </c>
    </row>
    <row r="14" ht="20.25" customHeight="1">
      <c r="D14" s="308"/>
    </row>
    <row r="15" ht="27.0" customHeight="1">
      <c r="A15" s="52" t="str">
        <f>A5</f>
        <v>R</v>
      </c>
      <c r="B15" s="52">
        <f>B5+1</f>
        <v>2</v>
      </c>
      <c r="D15" s="271" t="s">
        <v>80</v>
      </c>
      <c r="E15" s="272" t="s">
        <v>81</v>
      </c>
      <c r="F15" s="272" t="s">
        <v>82</v>
      </c>
      <c r="G15" s="273" t="s">
        <v>49</v>
      </c>
      <c r="H15" s="274"/>
    </row>
    <row r="16" ht="27.0" customHeight="1">
      <c r="A16" s="86"/>
      <c r="B16" s="86"/>
      <c r="D16" s="275">
        <f t="array" ref="D16">IFERROR(INDEX('計測入力シート（ここのみ編集可）'!$BN$17:$BN$116,MATCH(A15&amp;B15,'計測入力シート（ここのみ編集可）'!$BO$17:$BO$116,0)),"")</f>
        <v>2</v>
      </c>
      <c r="E16" s="276" t="str">
        <f t="array" ref="E16">IFERROR(INDEX('計測入力シート（ここのみ編集可）'!$BP$17:$BP$116,MATCH(A15&amp;B15,'計測入力シート（ここのみ編集可）'!$BO$17:$BO$116,0)),"")</f>
        <v>-</v>
      </c>
      <c r="F16" s="277" t="str">
        <f t="array" ref="F16">IFERROR(INDEX('計測入力シート（ここのみ編集可）'!$BR$17:$BR$116,MATCH(A15&amp;B15,'計測入力シート（ここのみ編集可）'!$BO$17:$BO$116,0)),"")</f>
        <v>-</v>
      </c>
      <c r="G16" s="278">
        <f t="array" ref="G16">IFERROR(INDEX('計測入力シート（ここのみ編集可）'!$BL$17:$BL$116,MATCH(A15&amp;B15,'計測入力シート（ここのみ編集可）'!$BO$17:$BO$116,0)),"")</f>
        <v>37</v>
      </c>
      <c r="H16" s="279"/>
    </row>
    <row r="17" ht="27.0" customHeight="1">
      <c r="D17" s="280" t="s">
        <v>2</v>
      </c>
      <c r="E17" s="281">
        <f t="array" ref="E17">IFERROR(INDEX('計測入力シート（ここのみ編集可）'!$C$17:$C$116,MATCH(A15&amp;B15,'計測入力シート（ここのみ編集可）'!$BO$17:$BO$116,0)),"")</f>
        <v>15</v>
      </c>
      <c r="F17" s="282" t="s">
        <v>17</v>
      </c>
      <c r="G17" s="283" t="str">
        <f t="array" ref="G17">IFERROR(INDEX('計測入力シート（ここのみ編集可）'!$D$17:$D$116,MATCH(A15&amp;B15,'計測入力シート（ここのみ編集可）'!$BO$17:$BO$116,0)),"")</f>
        <v>nagai7111</v>
      </c>
      <c r="H17" s="284"/>
    </row>
    <row r="18" ht="27.0" customHeight="1">
      <c r="D18" s="285" t="s">
        <v>1</v>
      </c>
      <c r="E18" s="286" t="str">
        <f t="array" ref="E18">IFERROR(INDEX('計測入力シート（ここのみ編集可）'!$B$17:$B$116,MATCH(A15&amp;B15,'計測入力シート（ここのみ編集可）'!$BO$17:$BO$116,0)),"")</f>
        <v>R</v>
      </c>
      <c r="F18" s="287" t="s">
        <v>18</v>
      </c>
      <c r="G18" s="288" t="str">
        <f t="array" ref="G18">IFERROR(INDEX('計測入力シート（ここのみ編集可）'!$E$17:$E$116,MATCH(A15&amp;B15,'計測入力シート（ここのみ編集可）'!$BO$17:$BO$116,0)),"")</f>
        <v>VTR</v>
      </c>
      <c r="H18" s="289"/>
    </row>
    <row r="19" ht="24.75" customHeight="1">
      <c r="D19" s="290" t="s">
        <v>92</v>
      </c>
      <c r="E19" s="291" t="str">
        <f t="array" ref="E19">IFERROR(INDEX(#REF!,MATCH(A15&amp;B15,'計測入力シート（ここのみ編集可）'!$BO$17:$BO$116,0)),"")</f>
        <v/>
      </c>
      <c r="H19" s="232"/>
    </row>
    <row r="20" ht="52.5" customHeight="1">
      <c r="D20" s="292" t="s">
        <v>100</v>
      </c>
      <c r="E20" s="293" t="str">
        <f t="array" ref="E20">IFERROR(INDEX(#REF!,MATCH(A15&amp;B15,'計測入力シート（ここのみ編集可）'!$BO$17:$BO$116,0)),"")</f>
        <v/>
      </c>
      <c r="F20" s="95"/>
      <c r="G20" s="95"/>
      <c r="H20" s="96"/>
    </row>
    <row r="21" ht="20.25" customHeight="1">
      <c r="D21" s="294" t="s">
        <v>39</v>
      </c>
      <c r="E21" s="295" t="str">
        <f t="array" ref="E21">IFERROR(INDEX('計測入力シート（ここのみ編集可）'!$AW$17:$AW$116,MATCH(A15&amp;B15,'計測入力シート（ここのみ編集可）'!$BO$17:$BO$116,0)),"")</f>
        <v>2:00:606</v>
      </c>
      <c r="F21" s="296"/>
      <c r="G21" s="297" t="s">
        <v>110</v>
      </c>
      <c r="H21" s="298" t="str">
        <f t="array" ref="H21">IFERROR(INDEX('計測入力シート（ここのみ編集可）'!$AY$17:$AY$116,MATCH(A15&amp;B15,'計測入力シート（ここのみ編集可）'!$BO$17:$BO$116,0)),"")</f>
        <v>-</v>
      </c>
    </row>
    <row r="22" ht="20.25" customHeight="1">
      <c r="D22" s="299" t="s">
        <v>42</v>
      </c>
      <c r="E22" s="300" t="str">
        <f t="array" ref="E22">IFERROR(INDEX('計測入力シート（ここのみ編集可）'!$AZ$17:$AZ$116,MATCH(A15&amp;B15,'計測入力シート（ここのみ編集可）'!$BO$17:$BO$116,0)),"")</f>
        <v>1:58:070</v>
      </c>
      <c r="F22" s="116"/>
      <c r="G22" s="301" t="s">
        <v>111</v>
      </c>
      <c r="H22" s="302" t="str">
        <f t="array" ref="H22">IFERROR(INDEX('計測入力シート（ここのみ編集可）'!$BB$17:$BB$116,MATCH(A15&amp;B15,'計測入力シート（ここのみ編集可）'!$BO$17:$BO$116,0)),"")</f>
        <v>-</v>
      </c>
    </row>
    <row r="23" ht="20.25" customHeight="1">
      <c r="D23" s="303" t="s">
        <v>112</v>
      </c>
      <c r="E23" s="304" t="str">
        <f t="array" ref="E23">IFERROR(INDEX('計測入力シート（ここのみ編集可）'!$BC$17:$BC$116,MATCH(A15&amp;B15,'計測入力シート（ここのみ編集可）'!$BO$17:$BO$116,0)),"")</f>
        <v>1:58:070</v>
      </c>
      <c r="F23" s="305"/>
      <c r="G23" s="306" t="s">
        <v>25</v>
      </c>
      <c r="H23" s="307">
        <f t="array" ref="H23">IFERROR(INDEX('計測入力シート（ここのみ編集可）'!$BD$17:$BD$116,MATCH(A15&amp;B15,'計測入力シート（ここのみ編集可）'!$BO$17:$BO$116,0)),"")</f>
        <v>1.209659242</v>
      </c>
    </row>
    <row r="24" ht="20.25" customHeight="1">
      <c r="D24" s="308"/>
    </row>
    <row r="25" ht="27.0" customHeight="1">
      <c r="A25" s="52" t="str">
        <f>A15</f>
        <v>R</v>
      </c>
      <c r="B25" s="52">
        <f>B15+1</f>
        <v>3</v>
      </c>
      <c r="D25" s="271" t="s">
        <v>80</v>
      </c>
      <c r="E25" s="272" t="s">
        <v>81</v>
      </c>
      <c r="F25" s="272" t="s">
        <v>82</v>
      </c>
      <c r="G25" s="273" t="s">
        <v>49</v>
      </c>
      <c r="H25" s="274"/>
    </row>
    <row r="26" ht="27.0" customHeight="1">
      <c r="A26" s="86"/>
      <c r="B26" s="86"/>
      <c r="D26" s="275">
        <f t="array" ref="D26">IFERROR(INDEX('計測入力シート（ここのみ編集可）'!$BN$17:$BN$116,MATCH(A25&amp;B25,'計測入力シート（ここのみ編集可）'!$BO$17:$BO$116,0)),"")</f>
        <v>3</v>
      </c>
      <c r="E26" s="276" t="str">
        <f t="array" ref="E26">IFERROR(INDEX('計測入力シート（ここのみ編集可）'!$BP$17:$BP$116,MATCH(A25&amp;B25,'計測入力シート（ここのみ編集可）'!$BO$17:$BO$116,0)),"")</f>
        <v>-</v>
      </c>
      <c r="F26" s="277">
        <f t="array" ref="F26">IFERROR(INDEX('計測入力シート（ここのみ編集可）'!$BR$17:$BR$116,MATCH(A25&amp;B25,'計測入力シート（ここのみ編集可）'!$BO$17:$BO$116,0)),"")</f>
        <v>3</v>
      </c>
      <c r="G26" s="278">
        <f t="array" ref="G26">IFERROR(INDEX('計測入力シート（ここのみ編集可）'!$BL$17:$BL$116,MATCH(A25&amp;B25,'計測入力シート（ここのみ編集可）'!$BO$17:$BO$116,0)),"")</f>
        <v>44</v>
      </c>
      <c r="H26" s="279"/>
    </row>
    <row r="27" ht="27.0" customHeight="1">
      <c r="D27" s="280" t="s">
        <v>2</v>
      </c>
      <c r="E27" s="281">
        <f t="array" ref="E27">IFERROR(INDEX('計測入力シート（ここのみ編集可）'!$C$17:$C$116,MATCH(A25&amp;B25,'計測入力シート（ここのみ編集可）'!$BO$17:$BO$116,0)),"")</f>
        <v>14</v>
      </c>
      <c r="F27" s="282" t="s">
        <v>17</v>
      </c>
      <c r="G27" s="283" t="str">
        <f t="array" ref="G27">IFERROR(INDEX('計測入力シート（ここのみ編集可）'!$D$17:$D$116,MATCH(A25&amp;B25,'計測入力シート（ここのみ編集可）'!$BO$17:$BO$116,0)),"")</f>
        <v>にんじゃ</v>
      </c>
      <c r="H27" s="284"/>
    </row>
    <row r="28" ht="27.0" customHeight="1">
      <c r="D28" s="285" t="s">
        <v>1</v>
      </c>
      <c r="E28" s="286" t="str">
        <f t="array" ref="E28">IFERROR(INDEX('計測入力シート（ここのみ編集可）'!$B$17:$B$116,MATCH(A25&amp;B25,'計測入力シート（ここのみ編集可）'!$BO$17:$BO$116,0)),"")</f>
        <v>R</v>
      </c>
      <c r="F28" s="287" t="s">
        <v>18</v>
      </c>
      <c r="G28" s="288" t="str">
        <f t="array" ref="G28">IFERROR(INDEX('計測入力シート（ここのみ編集可）'!$E$17:$E$116,MATCH(A25&amp;B25,'計測入力シート（ここのみ編集可）'!$BO$17:$BO$116,0)),"")</f>
        <v>GROM</v>
      </c>
      <c r="H28" s="289"/>
    </row>
    <row r="29" ht="24.75" customHeight="1">
      <c r="D29" s="290" t="s">
        <v>92</v>
      </c>
      <c r="E29" s="291" t="str">
        <f t="array" ref="E29">IFERROR(INDEX(#REF!,MATCH(A25&amp;B25,'計測入力シート（ここのみ編集可）'!$BO$17:$BO$116,0)),"")</f>
        <v/>
      </c>
      <c r="H29" s="232"/>
    </row>
    <row r="30" ht="52.5" customHeight="1">
      <c r="D30" s="292" t="s">
        <v>100</v>
      </c>
      <c r="E30" s="293" t="str">
        <f t="array" ref="E30">IFERROR(INDEX(#REF!,MATCH(A25&amp;B25,'計測入力シート（ここのみ編集可）'!$BO$17:$BO$116,0)),"")</f>
        <v/>
      </c>
      <c r="F30" s="95"/>
      <c r="G30" s="95"/>
      <c r="H30" s="96"/>
    </row>
    <row r="31" ht="20.25" customHeight="1">
      <c r="D31" s="294" t="s">
        <v>39</v>
      </c>
      <c r="E31" s="295" t="str">
        <f t="array" ref="E31">IFERROR(INDEX('計測入力シート（ここのみ編集可）'!$AW$17:$AW$116,MATCH(A25&amp;B25,'計測入力シート（ここのみ編集可）'!$BO$17:$BO$116,0)),"")</f>
        <v>2:06:466</v>
      </c>
      <c r="F31" s="296"/>
      <c r="G31" s="297" t="s">
        <v>110</v>
      </c>
      <c r="H31" s="298" t="str">
        <f t="array" ref="H31">IFERROR(INDEX('計測入力シート（ここのみ編集可）'!$AY$17:$AY$116,MATCH(A25&amp;B25,'計測入力シート（ここのみ編集可）'!$BO$17:$BO$116,0)),"")</f>
        <v>-</v>
      </c>
    </row>
    <row r="32" ht="20.25" customHeight="1">
      <c r="D32" s="299" t="s">
        <v>42</v>
      </c>
      <c r="E32" s="300" t="str">
        <f t="array" ref="E32">IFERROR(INDEX('計測入力シート（ここのみ編集可）'!$AZ$17:$AZ$116,MATCH(A25&amp;B25,'計測入力シート（ここのみ編集可）'!$BO$17:$BO$116,0)),"")</f>
        <v>2:05:058</v>
      </c>
      <c r="F32" s="116"/>
      <c r="G32" s="301" t="s">
        <v>111</v>
      </c>
      <c r="H32" s="302" t="str">
        <f t="array" ref="H32">IFERROR(INDEX('計測入力シート（ここのみ編集可）'!$BB$17:$BB$116,MATCH(A25&amp;B25,'計測入力シート（ここのみ編集可）'!$BO$17:$BO$116,0)),"")</f>
        <v>-</v>
      </c>
    </row>
    <row r="33" ht="20.25" customHeight="1">
      <c r="D33" s="303" t="s">
        <v>112</v>
      </c>
      <c r="E33" s="304" t="str">
        <f t="array" ref="E33">IFERROR(INDEX('計測入力シート（ここのみ編集可）'!$BC$17:$BC$116,MATCH(A25&amp;B25,'計測入力シート（ここのみ編集可）'!$BO$17:$BO$116,0)),"")</f>
        <v>2:05:058</v>
      </c>
      <c r="F33" s="305"/>
      <c r="G33" s="306" t="s">
        <v>25</v>
      </c>
      <c r="H33" s="307">
        <f t="array" ref="H33">IFERROR(INDEX('計測入力シート（ここのみ編集可）'!$BD$17:$BD$116,MATCH(A25&amp;B25,'計測入力シート（ここのみ編集可）'!$BO$17:$BO$116,0)),"")</f>
        <v>1.281253202</v>
      </c>
    </row>
    <row r="34" ht="20.25" customHeight="1">
      <c r="D34" s="308"/>
    </row>
    <row r="35" ht="27.0" customHeight="1">
      <c r="A35" s="52" t="str">
        <f>A25</f>
        <v>R</v>
      </c>
      <c r="B35" s="52">
        <f>B25+1</f>
        <v>4</v>
      </c>
      <c r="D35" s="271" t="s">
        <v>80</v>
      </c>
      <c r="E35" s="272" t="s">
        <v>81</v>
      </c>
      <c r="F35" s="272" t="s">
        <v>82</v>
      </c>
      <c r="G35" s="273" t="s">
        <v>49</v>
      </c>
      <c r="H35" s="274"/>
    </row>
    <row r="36" ht="27.0" customHeight="1">
      <c r="A36" s="86"/>
      <c r="B36" s="86"/>
      <c r="D36" s="275" t="str">
        <f t="array" ref="D36">IFERROR(INDEX('計測入力シート（ここのみ編集可）'!$BN$17:$BN$116,MATCH(A35&amp;B35,'計測入力シート（ここのみ編集可）'!$BO$17:$BO$116,0)),"")</f>
        <v/>
      </c>
      <c r="E36" s="276" t="str">
        <f t="array" ref="E36">IFERROR(INDEX('計測入力シート（ここのみ編集可）'!$BP$17:$BP$116,MATCH(A35&amp;B35,'計測入力シート（ここのみ編集可）'!$BO$17:$BO$116,0)),"")</f>
        <v/>
      </c>
      <c r="F36" s="277" t="str">
        <f t="array" ref="F36">IFERROR(INDEX('計測入力シート（ここのみ編集可）'!$BR$17:$BR$116,MATCH(A35&amp;B35,'計測入力シート（ここのみ編集可）'!$BO$17:$BO$116,0)),"")</f>
        <v/>
      </c>
      <c r="G36" s="278" t="str">
        <f t="array" ref="G36">IFERROR(INDEX('計測入力シート（ここのみ編集可）'!$BL$17:$BL$116,MATCH(A35&amp;B35,'計測入力シート（ここのみ編集可）'!$BO$17:$BO$116,0)),"")</f>
        <v/>
      </c>
      <c r="H36" s="279"/>
    </row>
    <row r="37" ht="27.0" customHeight="1">
      <c r="D37" s="280" t="s">
        <v>2</v>
      </c>
      <c r="E37" s="281" t="str">
        <f t="array" ref="E37">IFERROR(INDEX('計測入力シート（ここのみ編集可）'!$C$17:$C$116,MATCH(A35&amp;B35,'計測入力シート（ここのみ編集可）'!$BO$17:$BO$116,0)),"")</f>
        <v/>
      </c>
      <c r="F37" s="282" t="s">
        <v>17</v>
      </c>
      <c r="G37" s="283" t="str">
        <f t="array" ref="G37">IFERROR(INDEX('計測入力シート（ここのみ編集可）'!$D$17:$D$116,MATCH(A35&amp;B35,'計測入力シート（ここのみ編集可）'!$BO$17:$BO$116,0)),"")</f>
        <v/>
      </c>
      <c r="H37" s="284"/>
    </row>
    <row r="38" ht="27.0" customHeight="1">
      <c r="D38" s="285" t="s">
        <v>1</v>
      </c>
      <c r="E38" s="286" t="str">
        <f t="array" ref="E38">IFERROR(INDEX('計測入力シート（ここのみ編集可）'!$B$17:$B$116,MATCH(A35&amp;B35,'計測入力シート（ここのみ編集可）'!$BO$17:$BO$116,0)),"")</f>
        <v/>
      </c>
      <c r="F38" s="287" t="s">
        <v>18</v>
      </c>
      <c r="G38" s="288" t="str">
        <f t="array" ref="G38">IFERROR(INDEX('計測入力シート（ここのみ編集可）'!$E$17:$E$116,MATCH(A35&amp;B35,'計測入力シート（ここのみ編集可）'!$BO$17:$BO$116,0)),"")</f>
        <v/>
      </c>
      <c r="H38" s="289"/>
    </row>
    <row r="39" ht="24.75" customHeight="1">
      <c r="D39" s="290" t="s">
        <v>92</v>
      </c>
      <c r="E39" s="291" t="str">
        <f t="array" ref="E39">IFERROR(INDEX(#REF!,MATCH(A35&amp;B35,'計測入力シート（ここのみ編集可）'!$BO$17:$BO$116,0)),"")</f>
        <v/>
      </c>
      <c r="H39" s="232"/>
    </row>
    <row r="40" ht="52.5" customHeight="1">
      <c r="D40" s="292" t="s">
        <v>100</v>
      </c>
      <c r="E40" s="293" t="str">
        <f t="array" ref="E40">IFERROR(INDEX(#REF!,MATCH(A35&amp;B35,'計測入力シート（ここのみ編集可）'!$BO$17:$BO$116,0)),"")</f>
        <v/>
      </c>
      <c r="F40" s="95"/>
      <c r="G40" s="95"/>
      <c r="H40" s="96"/>
    </row>
    <row r="41" ht="20.25" customHeight="1">
      <c r="D41" s="294" t="s">
        <v>39</v>
      </c>
      <c r="E41" s="295" t="str">
        <f t="array" ref="E41">IFERROR(INDEX('計測入力シート（ここのみ編集可）'!$AW$17:$AW$116,MATCH(A35&amp;B35,'計測入力シート（ここのみ編集可）'!$BO$17:$BO$116,0)),"")</f>
        <v/>
      </c>
      <c r="F41" s="296"/>
      <c r="G41" s="297" t="s">
        <v>110</v>
      </c>
      <c r="H41" s="298" t="str">
        <f t="array" ref="H41">IFERROR(INDEX('計測入力シート（ここのみ編集可）'!$AY$17:$AY$116,MATCH(A35&amp;B35,'計測入力シート（ここのみ編集可）'!$BO$17:$BO$116,0)),"")</f>
        <v/>
      </c>
    </row>
    <row r="42" ht="20.25" customHeight="1">
      <c r="D42" s="299" t="s">
        <v>42</v>
      </c>
      <c r="E42" s="300" t="str">
        <f t="array" ref="E42">IFERROR(INDEX('計測入力シート（ここのみ編集可）'!$AZ$17:$AZ$116,MATCH(A35&amp;B35,'計測入力シート（ここのみ編集可）'!$BO$17:$BO$116,0)),"")</f>
        <v/>
      </c>
      <c r="F42" s="116"/>
      <c r="G42" s="301" t="s">
        <v>111</v>
      </c>
      <c r="H42" s="302" t="str">
        <f t="array" ref="H42">IFERROR(INDEX('計測入力シート（ここのみ編集可）'!$BB$17:$BB$116,MATCH(A35&amp;B35,'計測入力シート（ここのみ編集可）'!$BO$17:$BO$116,0)),"")</f>
        <v/>
      </c>
    </row>
    <row r="43" ht="20.25" customHeight="1">
      <c r="D43" s="303" t="s">
        <v>112</v>
      </c>
      <c r="E43" s="304" t="str">
        <f t="array" ref="E43">IFERROR(INDEX('計測入力シート（ここのみ編集可）'!$BC$17:$BC$116,MATCH(A35&amp;B35,'計測入力シート（ここのみ編集可）'!$BO$17:$BO$116,0)),"")</f>
        <v/>
      </c>
      <c r="F43" s="305"/>
      <c r="G43" s="306" t="s">
        <v>25</v>
      </c>
      <c r="H43" s="307" t="str">
        <f t="array" ref="H43">IFERROR(INDEX('計測入力シート（ここのみ編集可）'!$BD$17:$BD$116,MATCH(A35&amp;B35,'計測入力シート（ここのみ編集可）'!$BO$17:$BO$116,0)),"")</f>
        <v/>
      </c>
    </row>
    <row r="44" ht="20.25" customHeight="1">
      <c r="D44" s="308"/>
    </row>
    <row r="45" ht="27.0" customHeight="1">
      <c r="A45" s="52" t="str">
        <f>A35</f>
        <v>R</v>
      </c>
      <c r="B45" s="52">
        <f>B35+1</f>
        <v>5</v>
      </c>
      <c r="D45" s="271" t="s">
        <v>80</v>
      </c>
      <c r="E45" s="272" t="s">
        <v>81</v>
      </c>
      <c r="F45" s="272" t="s">
        <v>82</v>
      </c>
      <c r="G45" s="273" t="s">
        <v>49</v>
      </c>
      <c r="H45" s="274"/>
    </row>
    <row r="46" ht="27.0" customHeight="1">
      <c r="A46" s="86"/>
      <c r="B46" s="86"/>
      <c r="D46" s="275" t="str">
        <f t="array" ref="D46">IFERROR(INDEX('計測入力シート（ここのみ編集可）'!$BN$17:$BN$116,MATCH(A45&amp;B45,'計測入力シート（ここのみ編集可）'!$BO$17:$BO$116,0)),"")</f>
        <v/>
      </c>
      <c r="E46" s="276" t="str">
        <f t="array" ref="E46">IFERROR(INDEX('計測入力シート（ここのみ編集可）'!$BP$17:$BP$116,MATCH(A45&amp;B45,'計測入力シート（ここのみ編集可）'!$BO$17:$BO$116,0)),"")</f>
        <v/>
      </c>
      <c r="F46" s="277" t="str">
        <f t="array" ref="F46">IFERROR(INDEX('計測入力シート（ここのみ編集可）'!$BR$17:$BR$116,MATCH(A45&amp;B45,'計測入力シート（ここのみ編集可）'!$BO$17:$BO$116,0)),"")</f>
        <v/>
      </c>
      <c r="G46" s="278" t="str">
        <f t="array" ref="G46">IFERROR(INDEX('計測入力シート（ここのみ編集可）'!$BL$17:$BL$116,MATCH(A45&amp;B45,'計測入力シート（ここのみ編集可）'!$BO$17:$BO$116,0)),"")</f>
        <v/>
      </c>
      <c r="H46" s="279"/>
    </row>
    <row r="47" ht="27.0" customHeight="1">
      <c r="D47" s="280" t="s">
        <v>2</v>
      </c>
      <c r="E47" s="281" t="str">
        <f t="array" ref="E47">IFERROR(INDEX('計測入力シート（ここのみ編集可）'!$C$17:$C$116,MATCH(A45&amp;B45,'計測入力シート（ここのみ編集可）'!$BO$17:$BO$116,0)),"")</f>
        <v/>
      </c>
      <c r="F47" s="282" t="s">
        <v>17</v>
      </c>
      <c r="G47" s="283" t="str">
        <f t="array" ref="G47">IFERROR(INDEX('計測入力シート（ここのみ編集可）'!$D$17:$D$116,MATCH(A45&amp;B45,'計測入力シート（ここのみ編集可）'!$BO$17:$BO$116,0)),"")</f>
        <v/>
      </c>
      <c r="H47" s="284"/>
    </row>
    <row r="48" ht="27.0" customHeight="1">
      <c r="D48" s="285" t="s">
        <v>1</v>
      </c>
      <c r="E48" s="286" t="str">
        <f t="array" ref="E48">IFERROR(INDEX('計測入力シート（ここのみ編集可）'!$B$17:$B$116,MATCH(A45&amp;B45,'計測入力シート（ここのみ編集可）'!$BO$17:$BO$116,0)),"")</f>
        <v/>
      </c>
      <c r="F48" s="287" t="s">
        <v>18</v>
      </c>
      <c r="G48" s="288" t="str">
        <f t="array" ref="G48">IFERROR(INDEX('計測入力シート（ここのみ編集可）'!$E$17:$E$116,MATCH(A45&amp;B45,'計測入力シート（ここのみ編集可）'!$BO$17:$BO$116,0)),"")</f>
        <v/>
      </c>
      <c r="H48" s="289"/>
    </row>
    <row r="49" ht="24.75" customHeight="1">
      <c r="D49" s="290" t="s">
        <v>92</v>
      </c>
      <c r="E49" s="291" t="str">
        <f t="array" ref="E49">IFERROR(INDEX(#REF!,MATCH(A45&amp;B45,'計測入力シート（ここのみ編集可）'!$BO$17:$BO$116,0)),"")</f>
        <v/>
      </c>
      <c r="H49" s="232"/>
    </row>
    <row r="50" ht="52.5" customHeight="1">
      <c r="D50" s="292" t="s">
        <v>100</v>
      </c>
      <c r="E50" s="293" t="str">
        <f t="array" ref="E50">IFERROR(INDEX(#REF!,MATCH(A45&amp;B45,'計測入力シート（ここのみ編集可）'!$BO$17:$BO$116,0)),"")</f>
        <v/>
      </c>
      <c r="F50" s="95"/>
      <c r="G50" s="95"/>
      <c r="H50" s="96"/>
    </row>
    <row r="51" ht="20.25" customHeight="1">
      <c r="D51" s="294" t="s">
        <v>39</v>
      </c>
      <c r="E51" s="295" t="str">
        <f t="array" ref="E51">IFERROR(INDEX('計測入力シート（ここのみ編集可）'!$AW$17:$AW$116,MATCH(A45&amp;B45,'計測入力シート（ここのみ編集可）'!$BO$17:$BO$116,0)),"")</f>
        <v/>
      </c>
      <c r="F51" s="296"/>
      <c r="G51" s="297" t="s">
        <v>110</v>
      </c>
      <c r="H51" s="298" t="str">
        <f t="array" ref="H51">IFERROR(INDEX('計測入力シート（ここのみ編集可）'!$AY$17:$AY$116,MATCH(A45&amp;B45,'計測入力シート（ここのみ編集可）'!$BO$17:$BO$116,0)),"")</f>
        <v/>
      </c>
    </row>
    <row r="52" ht="20.25" customHeight="1">
      <c r="D52" s="299" t="s">
        <v>42</v>
      </c>
      <c r="E52" s="300" t="str">
        <f t="array" ref="E52">IFERROR(INDEX('計測入力シート（ここのみ編集可）'!$AZ$17:$AZ$116,MATCH(A45&amp;B45,'計測入力シート（ここのみ編集可）'!$BO$17:$BO$116,0)),"")</f>
        <v/>
      </c>
      <c r="F52" s="116"/>
      <c r="G52" s="301" t="s">
        <v>111</v>
      </c>
      <c r="H52" s="302" t="str">
        <f t="array" ref="H52">IFERROR(INDEX('計測入力シート（ここのみ編集可）'!$BB$17:$BB$116,MATCH(A45&amp;B45,'計測入力シート（ここのみ編集可）'!$BO$17:$BO$116,0)),"")</f>
        <v/>
      </c>
    </row>
    <row r="53" ht="20.25" customHeight="1">
      <c r="D53" s="303" t="s">
        <v>112</v>
      </c>
      <c r="E53" s="304" t="str">
        <f t="array" ref="E53">IFERROR(INDEX('計測入力シート（ここのみ編集可）'!$BC$17:$BC$116,MATCH(A45&amp;B45,'計測入力シート（ここのみ編集可）'!$BO$17:$BO$116,0)),"")</f>
        <v/>
      </c>
      <c r="F53" s="305"/>
      <c r="G53" s="306" t="s">
        <v>25</v>
      </c>
      <c r="H53" s="307" t="str">
        <f t="array" ref="H53">IFERROR(INDEX('計測入力シート（ここのみ編集可）'!$BD$17:$BD$116,MATCH(A45&amp;B45,'計測入力シート（ここのみ編集可）'!$BO$17:$BO$116,0)),"")</f>
        <v/>
      </c>
    </row>
    <row r="54" ht="20.25" customHeight="1">
      <c r="D54" s="308"/>
    </row>
    <row r="55" ht="27.0" customHeight="1">
      <c r="A55" s="52" t="str">
        <f>A45</f>
        <v>R</v>
      </c>
      <c r="B55" s="52">
        <f>B45+1</f>
        <v>6</v>
      </c>
      <c r="D55" s="271" t="s">
        <v>80</v>
      </c>
      <c r="E55" s="272" t="s">
        <v>81</v>
      </c>
      <c r="F55" s="272" t="s">
        <v>82</v>
      </c>
      <c r="G55" s="273" t="s">
        <v>49</v>
      </c>
      <c r="H55" s="274"/>
    </row>
    <row r="56" ht="27.0" customHeight="1">
      <c r="A56" s="86"/>
      <c r="B56" s="86"/>
      <c r="D56" s="275" t="str">
        <f t="array" ref="D56">IFERROR(INDEX('計測入力シート（ここのみ編集可）'!$BN$17:$BN$116,MATCH(A55&amp;B55,'計測入力シート（ここのみ編集可）'!$BO$17:$BO$116,0)),"")</f>
        <v/>
      </c>
      <c r="E56" s="276" t="str">
        <f t="array" ref="E56">IFERROR(INDEX('計測入力シート（ここのみ編集可）'!$BP$17:$BP$116,MATCH(A55&amp;B55,'計測入力シート（ここのみ編集可）'!$BO$17:$BO$116,0)),"")</f>
        <v/>
      </c>
      <c r="F56" s="277" t="str">
        <f t="array" ref="F56">IFERROR(INDEX('計測入力シート（ここのみ編集可）'!$BR$17:$BR$116,MATCH(A55&amp;B55,'計測入力シート（ここのみ編集可）'!$BO$17:$BO$116,0)),"")</f>
        <v/>
      </c>
      <c r="G56" s="278" t="str">
        <f t="array" ref="G56">IFERROR(INDEX('計測入力シート（ここのみ編集可）'!$BL$17:$BL$116,MATCH(A55&amp;B55,'計測入力シート（ここのみ編集可）'!$BO$17:$BO$116,0)),"")</f>
        <v/>
      </c>
      <c r="H56" s="279"/>
    </row>
    <row r="57" ht="27.0" customHeight="1">
      <c r="D57" s="280" t="s">
        <v>2</v>
      </c>
      <c r="E57" s="281" t="str">
        <f t="array" ref="E57">IFERROR(INDEX('計測入力シート（ここのみ編集可）'!$C$17:$C$116,MATCH(A55&amp;B55,'計測入力シート（ここのみ編集可）'!$BO$17:$BO$116,0)),"")</f>
        <v/>
      </c>
      <c r="F57" s="282" t="s">
        <v>17</v>
      </c>
      <c r="G57" s="283" t="str">
        <f t="array" ref="G57">IFERROR(INDEX('計測入力シート（ここのみ編集可）'!$D$17:$D$116,MATCH(A55&amp;B55,'計測入力シート（ここのみ編集可）'!$BO$17:$BO$116,0)),"")</f>
        <v/>
      </c>
      <c r="H57" s="284"/>
    </row>
    <row r="58" ht="27.0" customHeight="1">
      <c r="D58" s="285" t="s">
        <v>1</v>
      </c>
      <c r="E58" s="286" t="str">
        <f t="array" ref="E58">IFERROR(INDEX('計測入力シート（ここのみ編集可）'!$B$17:$B$116,MATCH(A55&amp;B55,'計測入力シート（ここのみ編集可）'!$BO$17:$BO$116,0)),"")</f>
        <v/>
      </c>
      <c r="F58" s="287" t="s">
        <v>18</v>
      </c>
      <c r="G58" s="288" t="str">
        <f t="array" ref="G58">IFERROR(INDEX('計測入力シート（ここのみ編集可）'!$E$17:$E$116,MATCH(A55&amp;B55,'計測入力シート（ここのみ編集可）'!$BO$17:$BO$116,0)),"")</f>
        <v/>
      </c>
      <c r="H58" s="289"/>
    </row>
    <row r="59" ht="24.75" customHeight="1">
      <c r="D59" s="290" t="s">
        <v>92</v>
      </c>
      <c r="E59" s="291" t="str">
        <f t="array" ref="E59">IFERROR(INDEX(#REF!,MATCH(A55&amp;B55,'計測入力シート（ここのみ編集可）'!$BO$17:$BO$116,0)),"")</f>
        <v/>
      </c>
      <c r="H59" s="232"/>
    </row>
    <row r="60" ht="52.5" customHeight="1">
      <c r="D60" s="292" t="s">
        <v>100</v>
      </c>
      <c r="E60" s="293" t="str">
        <f t="array" ref="E60">IFERROR(INDEX(#REF!,MATCH(A55&amp;B55,'計測入力シート（ここのみ編集可）'!$BO$17:$BO$116,0)),"")</f>
        <v/>
      </c>
      <c r="F60" s="95"/>
      <c r="G60" s="95"/>
      <c r="H60" s="96"/>
    </row>
    <row r="61" ht="20.25" customHeight="1">
      <c r="D61" s="294" t="s">
        <v>39</v>
      </c>
      <c r="E61" s="295" t="str">
        <f t="array" ref="E61">IFERROR(INDEX('計測入力シート（ここのみ編集可）'!$AW$17:$AW$116,MATCH(A55&amp;B55,'計測入力シート（ここのみ編集可）'!$BO$17:$BO$116,0)),"")</f>
        <v/>
      </c>
      <c r="F61" s="296"/>
      <c r="G61" s="297" t="s">
        <v>110</v>
      </c>
      <c r="H61" s="298" t="str">
        <f t="array" ref="H61">IFERROR(INDEX('計測入力シート（ここのみ編集可）'!$AY$17:$AY$116,MATCH(A55&amp;B55,'計測入力シート（ここのみ編集可）'!$BO$17:$BO$116,0)),"")</f>
        <v/>
      </c>
    </row>
    <row r="62" ht="20.25" customHeight="1">
      <c r="D62" s="299" t="s">
        <v>42</v>
      </c>
      <c r="E62" s="300" t="str">
        <f t="array" ref="E62">IFERROR(INDEX('計測入力シート（ここのみ編集可）'!$AZ$17:$AZ$116,MATCH(A55&amp;B55,'計測入力シート（ここのみ編集可）'!$BO$17:$BO$116,0)),"")</f>
        <v/>
      </c>
      <c r="F62" s="116"/>
      <c r="G62" s="301" t="s">
        <v>111</v>
      </c>
      <c r="H62" s="302" t="str">
        <f t="array" ref="H62">IFERROR(INDEX('計測入力シート（ここのみ編集可）'!$BB$17:$BB$116,MATCH(A55&amp;B55,'計測入力シート（ここのみ編集可）'!$BO$17:$BO$116,0)),"")</f>
        <v/>
      </c>
    </row>
    <row r="63" ht="20.25" customHeight="1">
      <c r="D63" s="303" t="s">
        <v>112</v>
      </c>
      <c r="E63" s="304" t="str">
        <f t="array" ref="E63">IFERROR(INDEX('計測入力シート（ここのみ編集可）'!$BC$17:$BC$116,MATCH(A55&amp;B55,'計測入力シート（ここのみ編集可）'!$BO$17:$BO$116,0)),"")</f>
        <v/>
      </c>
      <c r="F63" s="305"/>
      <c r="G63" s="306" t="s">
        <v>25</v>
      </c>
      <c r="H63" s="307" t="str">
        <f t="array" ref="H63">IFERROR(INDEX('計測入力シート（ここのみ編集可）'!$BD$17:$BD$116,MATCH(A55&amp;B55,'計測入力シート（ここのみ編集可）'!$BO$17:$BO$116,0)),"")</f>
        <v/>
      </c>
    </row>
    <row r="64" ht="20.25" customHeight="1">
      <c r="D64" s="308"/>
    </row>
    <row r="65" ht="27.0" customHeight="1">
      <c r="A65" s="52" t="str">
        <f>A55</f>
        <v>R</v>
      </c>
      <c r="B65" s="52">
        <f>B55+1</f>
        <v>7</v>
      </c>
      <c r="D65" s="271" t="s">
        <v>80</v>
      </c>
      <c r="E65" s="272" t="s">
        <v>81</v>
      </c>
      <c r="F65" s="272" t="s">
        <v>82</v>
      </c>
      <c r="G65" s="273" t="s">
        <v>49</v>
      </c>
      <c r="H65" s="274"/>
    </row>
    <row r="66" ht="27.0" customHeight="1">
      <c r="A66" s="86"/>
      <c r="B66" s="86"/>
      <c r="D66" s="275" t="str">
        <f t="array" ref="D66">IFERROR(INDEX('計測入力シート（ここのみ編集可）'!$BN$17:$BN$116,MATCH(A65&amp;B65,'計測入力シート（ここのみ編集可）'!$BO$17:$BO$116,0)),"")</f>
        <v/>
      </c>
      <c r="E66" s="276" t="str">
        <f t="array" ref="E66">IFERROR(INDEX('計測入力シート（ここのみ編集可）'!$BP$17:$BP$116,MATCH(A65&amp;B65,'計測入力シート（ここのみ編集可）'!$BO$17:$BO$116,0)),"")</f>
        <v/>
      </c>
      <c r="F66" s="277" t="str">
        <f t="array" ref="F66">IFERROR(INDEX('計測入力シート（ここのみ編集可）'!$BR$17:$BR$116,MATCH(A65&amp;B65,'計測入力シート（ここのみ編集可）'!$BO$17:$BO$116,0)),"")</f>
        <v/>
      </c>
      <c r="G66" s="278" t="str">
        <f t="array" ref="G66">IFERROR(INDEX('計測入力シート（ここのみ編集可）'!$BL$17:$BL$116,MATCH(A65&amp;B65,'計測入力シート（ここのみ編集可）'!$BO$17:$BO$116,0)),"")</f>
        <v/>
      </c>
      <c r="H66" s="279"/>
    </row>
    <row r="67" ht="27.0" customHeight="1">
      <c r="D67" s="280" t="s">
        <v>2</v>
      </c>
      <c r="E67" s="281" t="str">
        <f t="array" ref="E67">IFERROR(INDEX('計測入力シート（ここのみ編集可）'!$C$17:$C$116,MATCH(A65&amp;B65,'計測入力シート（ここのみ編集可）'!$BO$17:$BO$116,0)),"")</f>
        <v/>
      </c>
      <c r="F67" s="282" t="s">
        <v>17</v>
      </c>
      <c r="G67" s="283" t="str">
        <f t="array" ref="G67">IFERROR(INDEX('計測入力シート（ここのみ編集可）'!$D$17:$D$116,MATCH(A65&amp;B65,'計測入力シート（ここのみ編集可）'!$BO$17:$BO$116,0)),"")</f>
        <v/>
      </c>
      <c r="H67" s="284"/>
    </row>
    <row r="68" ht="27.0" customHeight="1">
      <c r="D68" s="285" t="s">
        <v>1</v>
      </c>
      <c r="E68" s="286" t="str">
        <f t="array" ref="E68">IFERROR(INDEX('計測入力シート（ここのみ編集可）'!$B$17:$B$116,MATCH(A65&amp;B65,'計測入力シート（ここのみ編集可）'!$BO$17:$BO$116,0)),"")</f>
        <v/>
      </c>
      <c r="F68" s="287" t="s">
        <v>18</v>
      </c>
      <c r="G68" s="288" t="str">
        <f t="array" ref="G68">IFERROR(INDEX('計測入力シート（ここのみ編集可）'!$E$17:$E$116,MATCH(A65&amp;B65,'計測入力シート（ここのみ編集可）'!$BO$17:$BO$116,0)),"")</f>
        <v/>
      </c>
      <c r="H68" s="289"/>
    </row>
    <row r="69" ht="24.75" customHeight="1">
      <c r="D69" s="290" t="s">
        <v>92</v>
      </c>
      <c r="E69" s="291" t="str">
        <f t="array" ref="E69">IFERROR(INDEX(#REF!,MATCH(A65&amp;B65,'計測入力シート（ここのみ編集可）'!$BO$17:$BO$116,0)),"")</f>
        <v/>
      </c>
      <c r="H69" s="232"/>
    </row>
    <row r="70" ht="52.5" customHeight="1">
      <c r="D70" s="292" t="s">
        <v>100</v>
      </c>
      <c r="E70" s="293" t="str">
        <f t="array" ref="E70">IFERROR(INDEX(#REF!,MATCH(A65&amp;B65,'計測入力シート（ここのみ編集可）'!$BO$17:$BO$116,0)),"")</f>
        <v/>
      </c>
      <c r="F70" s="95"/>
      <c r="G70" s="95"/>
      <c r="H70" s="96"/>
    </row>
    <row r="71" ht="20.25" customHeight="1">
      <c r="D71" s="294" t="s">
        <v>39</v>
      </c>
      <c r="E71" s="295" t="str">
        <f t="array" ref="E71">IFERROR(INDEX('計測入力シート（ここのみ編集可）'!$AW$17:$AW$116,MATCH(A65&amp;B65,'計測入力シート（ここのみ編集可）'!$BO$17:$BO$116,0)),"")</f>
        <v/>
      </c>
      <c r="F71" s="296"/>
      <c r="G71" s="297" t="s">
        <v>110</v>
      </c>
      <c r="H71" s="298" t="str">
        <f t="array" ref="H71">IFERROR(INDEX('計測入力シート（ここのみ編集可）'!$AY$17:$AY$116,MATCH(A65&amp;B65,'計測入力シート（ここのみ編集可）'!$BO$17:$BO$116,0)),"")</f>
        <v/>
      </c>
    </row>
    <row r="72" ht="20.25" customHeight="1">
      <c r="D72" s="299" t="s">
        <v>42</v>
      </c>
      <c r="E72" s="300" t="str">
        <f t="array" ref="E72">IFERROR(INDEX('計測入力シート（ここのみ編集可）'!$AZ$17:$AZ$116,MATCH(A65&amp;B65,'計測入力シート（ここのみ編集可）'!$BO$17:$BO$116,0)),"")</f>
        <v/>
      </c>
      <c r="F72" s="116"/>
      <c r="G72" s="301" t="s">
        <v>111</v>
      </c>
      <c r="H72" s="302" t="str">
        <f t="array" ref="H72">IFERROR(INDEX('計測入力シート（ここのみ編集可）'!$BB$17:$BB$116,MATCH(A65&amp;B65,'計測入力シート（ここのみ編集可）'!$BO$17:$BO$116,0)),"")</f>
        <v/>
      </c>
    </row>
    <row r="73" ht="20.25" customHeight="1">
      <c r="D73" s="303" t="s">
        <v>112</v>
      </c>
      <c r="E73" s="304" t="str">
        <f t="array" ref="E73">IFERROR(INDEX('計測入力シート（ここのみ編集可）'!$BC$17:$BC$116,MATCH(A65&amp;B65,'計測入力シート（ここのみ編集可）'!$BO$17:$BO$116,0)),"")</f>
        <v/>
      </c>
      <c r="F73" s="305"/>
      <c r="G73" s="306" t="s">
        <v>25</v>
      </c>
      <c r="H73" s="307" t="str">
        <f t="array" ref="H73">IFERROR(INDEX('計測入力シート（ここのみ編集可）'!$BD$17:$BD$116,MATCH(A65&amp;B65,'計測入力シート（ここのみ編集可）'!$BO$17:$BO$116,0)),"")</f>
        <v/>
      </c>
    </row>
    <row r="74" ht="20.25" customHeight="1">
      <c r="D74" s="308"/>
    </row>
    <row r="75" ht="27.0" customHeight="1">
      <c r="A75" s="52" t="str">
        <f>A65</f>
        <v>R</v>
      </c>
      <c r="B75" s="52">
        <f>B65+1</f>
        <v>8</v>
      </c>
      <c r="D75" s="271" t="s">
        <v>80</v>
      </c>
      <c r="E75" s="272" t="s">
        <v>81</v>
      </c>
      <c r="F75" s="272" t="s">
        <v>82</v>
      </c>
      <c r="G75" s="273" t="s">
        <v>49</v>
      </c>
      <c r="H75" s="274"/>
    </row>
    <row r="76" ht="27.0" customHeight="1">
      <c r="A76" s="86"/>
      <c r="B76" s="86"/>
      <c r="D76" s="275" t="str">
        <f t="array" ref="D76">IFERROR(INDEX('計測入力シート（ここのみ編集可）'!$BN$17:$BN$116,MATCH(A75&amp;B75,'計測入力シート（ここのみ編集可）'!$BO$17:$BO$116,0)),"")</f>
        <v/>
      </c>
      <c r="E76" s="276" t="str">
        <f t="array" ref="E76">IFERROR(INDEX('計測入力シート（ここのみ編集可）'!$BP$17:$BP$116,MATCH(A75&amp;B75,'計測入力シート（ここのみ編集可）'!$BO$17:$BO$116,0)),"")</f>
        <v/>
      </c>
      <c r="F76" s="277" t="str">
        <f t="array" ref="F76">IFERROR(INDEX('計測入力シート（ここのみ編集可）'!$BR$17:$BR$116,MATCH(A75&amp;B75,'計測入力シート（ここのみ編集可）'!$BO$17:$BO$116,0)),"")</f>
        <v/>
      </c>
      <c r="G76" s="278" t="str">
        <f t="array" ref="G76">IFERROR(INDEX('計測入力シート（ここのみ編集可）'!$BL$17:$BL$116,MATCH(A75&amp;B75,'計測入力シート（ここのみ編集可）'!$BO$17:$BO$116,0)),"")</f>
        <v/>
      </c>
      <c r="H76" s="279"/>
    </row>
    <row r="77" ht="27.0" customHeight="1">
      <c r="D77" s="280" t="s">
        <v>2</v>
      </c>
      <c r="E77" s="281" t="str">
        <f t="array" ref="E77">IFERROR(INDEX('計測入力シート（ここのみ編集可）'!$C$17:$C$116,MATCH(A75&amp;B75,'計測入力シート（ここのみ編集可）'!$BO$17:$BO$116,0)),"")</f>
        <v/>
      </c>
      <c r="F77" s="282" t="s">
        <v>17</v>
      </c>
      <c r="G77" s="283" t="str">
        <f t="array" ref="G77">IFERROR(INDEX('計測入力シート（ここのみ編集可）'!$D$17:$D$116,MATCH(A75&amp;B75,'計測入力シート（ここのみ編集可）'!$BO$17:$BO$116,0)),"")</f>
        <v/>
      </c>
      <c r="H77" s="284"/>
    </row>
    <row r="78" ht="27.0" customHeight="1">
      <c r="D78" s="285" t="s">
        <v>1</v>
      </c>
      <c r="E78" s="286" t="str">
        <f t="array" ref="E78">IFERROR(INDEX('計測入力シート（ここのみ編集可）'!$B$17:$B$116,MATCH(A75&amp;B75,'計測入力シート（ここのみ編集可）'!$BO$17:$BO$116,0)),"")</f>
        <v/>
      </c>
      <c r="F78" s="287" t="s">
        <v>18</v>
      </c>
      <c r="G78" s="288" t="str">
        <f t="array" ref="G78">IFERROR(INDEX('計測入力シート（ここのみ編集可）'!$E$17:$E$116,MATCH(A75&amp;B75,'計測入力シート（ここのみ編集可）'!$BO$17:$BO$116,0)),"")</f>
        <v/>
      </c>
      <c r="H78" s="289"/>
    </row>
    <row r="79" ht="24.75" customHeight="1">
      <c r="D79" s="290" t="s">
        <v>92</v>
      </c>
      <c r="E79" s="291" t="str">
        <f t="array" ref="E79">IFERROR(INDEX(#REF!,MATCH(A75&amp;B75,'計測入力シート（ここのみ編集可）'!$BO$17:$BO$116,0)),"")</f>
        <v/>
      </c>
      <c r="H79" s="232"/>
    </row>
    <row r="80" ht="52.5" customHeight="1">
      <c r="D80" s="292" t="s">
        <v>100</v>
      </c>
      <c r="E80" s="293" t="str">
        <f t="array" ref="E80">IFERROR(INDEX(#REF!,MATCH(A75&amp;B75,'計測入力シート（ここのみ編集可）'!$BO$17:$BO$116,0)),"")</f>
        <v/>
      </c>
      <c r="F80" s="95"/>
      <c r="G80" s="95"/>
      <c r="H80" s="96"/>
    </row>
    <row r="81" ht="20.25" customHeight="1">
      <c r="D81" s="294" t="s">
        <v>39</v>
      </c>
      <c r="E81" s="295" t="str">
        <f t="array" ref="E81">IFERROR(INDEX('計測入力シート（ここのみ編集可）'!$AW$17:$AW$116,MATCH(A75&amp;B75,'計測入力シート（ここのみ編集可）'!$BO$17:$BO$116,0)),"")</f>
        <v/>
      </c>
      <c r="F81" s="296"/>
      <c r="G81" s="297" t="s">
        <v>110</v>
      </c>
      <c r="H81" s="298" t="str">
        <f t="array" ref="H81">IFERROR(INDEX('計測入力シート（ここのみ編集可）'!$AY$17:$AY$116,MATCH(A75&amp;B75,'計測入力シート（ここのみ編集可）'!$BO$17:$BO$116,0)),"")</f>
        <v/>
      </c>
    </row>
    <row r="82" ht="20.25" customHeight="1">
      <c r="D82" s="299" t="s">
        <v>42</v>
      </c>
      <c r="E82" s="300" t="str">
        <f t="array" ref="E82">IFERROR(INDEX('計測入力シート（ここのみ編集可）'!$AZ$17:$AZ$116,MATCH(A75&amp;B75,'計測入力シート（ここのみ編集可）'!$BO$17:$BO$116,0)),"")</f>
        <v/>
      </c>
      <c r="F82" s="116"/>
      <c r="G82" s="301" t="s">
        <v>111</v>
      </c>
      <c r="H82" s="302" t="str">
        <f t="array" ref="H82">IFERROR(INDEX('計測入力シート（ここのみ編集可）'!$BB$17:$BB$116,MATCH(A75&amp;B75,'計測入力シート（ここのみ編集可）'!$BO$17:$BO$116,0)),"")</f>
        <v/>
      </c>
    </row>
    <row r="83" ht="20.25" customHeight="1">
      <c r="D83" s="303" t="s">
        <v>112</v>
      </c>
      <c r="E83" s="304" t="str">
        <f t="array" ref="E83">IFERROR(INDEX('計測入力シート（ここのみ編集可）'!$BC$17:$BC$116,MATCH(A75&amp;B75,'計測入力シート（ここのみ編集可）'!$BO$17:$BO$116,0)),"")</f>
        <v/>
      </c>
      <c r="F83" s="305"/>
      <c r="G83" s="306" t="s">
        <v>25</v>
      </c>
      <c r="H83" s="307" t="str">
        <f t="array" ref="H83">IFERROR(INDEX('計測入力シート（ここのみ編集可）'!$BD$17:$BD$116,MATCH(A75&amp;B75,'計測入力シート（ここのみ編集可）'!$BO$17:$BO$116,0)),"")</f>
        <v/>
      </c>
    </row>
    <row r="84" ht="20.25" customHeight="1">
      <c r="D84" s="308"/>
    </row>
    <row r="85" ht="27.0" customHeight="1">
      <c r="A85" s="52" t="str">
        <f>A75</f>
        <v>R</v>
      </c>
      <c r="B85" s="52">
        <f>B75+1</f>
        <v>9</v>
      </c>
      <c r="D85" s="271" t="s">
        <v>80</v>
      </c>
      <c r="E85" s="272" t="s">
        <v>81</v>
      </c>
      <c r="F85" s="272" t="s">
        <v>82</v>
      </c>
      <c r="G85" s="273" t="s">
        <v>49</v>
      </c>
      <c r="H85" s="274"/>
    </row>
    <row r="86" ht="27.0" customHeight="1">
      <c r="A86" s="86"/>
      <c r="B86" s="86"/>
      <c r="D86" s="275" t="str">
        <f t="array" ref="D86">IFERROR(INDEX('計測入力シート（ここのみ編集可）'!$BN$17:$BN$116,MATCH(A85&amp;B85,'計測入力シート（ここのみ編集可）'!$BO$17:$BO$116,0)),"")</f>
        <v/>
      </c>
      <c r="E86" s="276" t="str">
        <f t="array" ref="E86">IFERROR(INDEX('計測入力シート（ここのみ編集可）'!$BP$17:$BP$116,MATCH(A85&amp;B85,'計測入力シート（ここのみ編集可）'!$BO$17:$BO$116,0)),"")</f>
        <v/>
      </c>
      <c r="F86" s="277" t="str">
        <f t="array" ref="F86">IFERROR(INDEX('計測入力シート（ここのみ編集可）'!$BR$17:$BR$116,MATCH(A85&amp;B85,'計測入力シート（ここのみ編集可）'!$BO$17:$BO$116,0)),"")</f>
        <v/>
      </c>
      <c r="G86" s="278" t="str">
        <f t="array" ref="G86">IFERROR(INDEX('計測入力シート（ここのみ編集可）'!$BL$17:$BL$116,MATCH(A85&amp;B85,'計測入力シート（ここのみ編集可）'!$BO$17:$BO$116,0)),"")</f>
        <v/>
      </c>
      <c r="H86" s="279"/>
    </row>
    <row r="87" ht="27.0" customHeight="1">
      <c r="D87" s="280" t="s">
        <v>2</v>
      </c>
      <c r="E87" s="281" t="str">
        <f t="array" ref="E87">IFERROR(INDEX('計測入力シート（ここのみ編集可）'!$C$17:$C$116,MATCH(A85&amp;B85,'計測入力シート（ここのみ編集可）'!$BO$17:$BO$116,0)),"")</f>
        <v/>
      </c>
      <c r="F87" s="282" t="s">
        <v>17</v>
      </c>
      <c r="G87" s="283" t="str">
        <f t="array" ref="G87">IFERROR(INDEX('計測入力シート（ここのみ編集可）'!$D$17:$D$116,MATCH(A85&amp;B85,'計測入力シート（ここのみ編集可）'!$BO$17:$BO$116,0)),"")</f>
        <v/>
      </c>
      <c r="H87" s="284"/>
    </row>
    <row r="88" ht="27.0" customHeight="1">
      <c r="D88" s="285" t="s">
        <v>1</v>
      </c>
      <c r="E88" s="286" t="str">
        <f t="array" ref="E88">IFERROR(INDEX('計測入力シート（ここのみ編集可）'!$B$17:$B$116,MATCH(A85&amp;B85,'計測入力シート（ここのみ編集可）'!$BO$17:$BO$116,0)),"")</f>
        <v/>
      </c>
      <c r="F88" s="287" t="s">
        <v>18</v>
      </c>
      <c r="G88" s="288" t="str">
        <f t="array" ref="G88">IFERROR(INDEX('計測入力シート（ここのみ編集可）'!$E$17:$E$116,MATCH(A85&amp;B85,'計測入力シート（ここのみ編集可）'!$BO$17:$BO$116,0)),"")</f>
        <v/>
      </c>
      <c r="H88" s="289"/>
    </row>
    <row r="89" ht="24.75" customHeight="1">
      <c r="D89" s="290" t="s">
        <v>92</v>
      </c>
      <c r="E89" s="291" t="str">
        <f t="array" ref="E89">IFERROR(INDEX(#REF!,MATCH(A85&amp;B85,'計測入力シート（ここのみ編集可）'!$BO$17:$BO$116,0)),"")</f>
        <v/>
      </c>
      <c r="H89" s="232"/>
    </row>
    <row r="90" ht="52.5" customHeight="1">
      <c r="D90" s="292" t="s">
        <v>100</v>
      </c>
      <c r="E90" s="293" t="str">
        <f t="array" ref="E90">IFERROR(INDEX(#REF!,MATCH(A85&amp;B85,'計測入力シート（ここのみ編集可）'!$BO$17:$BO$116,0)),"")</f>
        <v/>
      </c>
      <c r="F90" s="95"/>
      <c r="G90" s="95"/>
      <c r="H90" s="96"/>
    </row>
    <row r="91" ht="20.25" customHeight="1">
      <c r="D91" s="294" t="s">
        <v>39</v>
      </c>
      <c r="E91" s="295" t="str">
        <f t="array" ref="E91">IFERROR(INDEX('計測入力シート（ここのみ編集可）'!$AW$17:$AW$116,MATCH(A85&amp;B85,'計測入力シート（ここのみ編集可）'!$BO$17:$BO$116,0)),"")</f>
        <v/>
      </c>
      <c r="F91" s="296"/>
      <c r="G91" s="297" t="s">
        <v>110</v>
      </c>
      <c r="H91" s="298" t="str">
        <f t="array" ref="H91">IFERROR(INDEX('計測入力シート（ここのみ編集可）'!$AY$17:$AY$116,MATCH(A85&amp;B85,'計測入力シート（ここのみ編集可）'!$BO$17:$BO$116,0)),"")</f>
        <v/>
      </c>
    </row>
    <row r="92" ht="20.25" customHeight="1">
      <c r="D92" s="299" t="s">
        <v>42</v>
      </c>
      <c r="E92" s="300" t="str">
        <f t="array" ref="E92">IFERROR(INDEX('計測入力シート（ここのみ編集可）'!$AZ$17:$AZ$116,MATCH(A85&amp;B85,'計測入力シート（ここのみ編集可）'!$BO$17:$BO$116,0)),"")</f>
        <v/>
      </c>
      <c r="F92" s="116"/>
      <c r="G92" s="301" t="s">
        <v>111</v>
      </c>
      <c r="H92" s="302" t="str">
        <f t="array" ref="H92">IFERROR(INDEX('計測入力シート（ここのみ編集可）'!$BB$17:$BB$116,MATCH(A85&amp;B85,'計測入力シート（ここのみ編集可）'!$BO$17:$BO$116,0)),"")</f>
        <v/>
      </c>
    </row>
    <row r="93" ht="20.25" customHeight="1">
      <c r="D93" s="303" t="s">
        <v>112</v>
      </c>
      <c r="E93" s="304" t="str">
        <f t="array" ref="E93">IFERROR(INDEX('計測入力シート（ここのみ編集可）'!$BC$17:$BC$116,MATCH(A85&amp;B85,'計測入力シート（ここのみ編集可）'!$BO$17:$BO$116,0)),"")</f>
        <v/>
      </c>
      <c r="F93" s="305"/>
      <c r="G93" s="306" t="s">
        <v>25</v>
      </c>
      <c r="H93" s="307" t="str">
        <f t="array" ref="H93">IFERROR(INDEX('計測入力シート（ここのみ編集可）'!$BD$17:$BD$116,MATCH(A85&amp;B85,'計測入力シート（ここのみ編集可）'!$BO$17:$BO$116,0)),"")</f>
        <v/>
      </c>
    </row>
    <row r="94" ht="20.25" customHeight="1">
      <c r="D94" s="308"/>
    </row>
    <row r="95" ht="27.0" customHeight="1">
      <c r="A95" s="52" t="str">
        <f>A85</f>
        <v>R</v>
      </c>
      <c r="B95" s="52">
        <f>B85+1</f>
        <v>10</v>
      </c>
      <c r="D95" s="271" t="s">
        <v>80</v>
      </c>
      <c r="E95" s="272" t="s">
        <v>81</v>
      </c>
      <c r="F95" s="272" t="s">
        <v>82</v>
      </c>
      <c r="G95" s="273" t="s">
        <v>49</v>
      </c>
      <c r="H95" s="274"/>
    </row>
    <row r="96" ht="27.0" customHeight="1">
      <c r="A96" s="86"/>
      <c r="B96" s="86"/>
      <c r="D96" s="275" t="str">
        <f t="array" ref="D96">IFERROR(INDEX('計測入力シート（ここのみ編集可）'!$BN$17:$BN$116,MATCH(A95&amp;B95,'計測入力シート（ここのみ編集可）'!$BO$17:$BO$116,0)),"")</f>
        <v/>
      </c>
      <c r="E96" s="276" t="str">
        <f t="array" ref="E96">IFERROR(INDEX('計測入力シート（ここのみ編集可）'!$BP$17:$BP$116,MATCH(A95&amp;B95,'計測入力シート（ここのみ編集可）'!$BO$17:$BO$116,0)),"")</f>
        <v/>
      </c>
      <c r="F96" s="277" t="str">
        <f t="array" ref="F96">IFERROR(INDEX('計測入力シート（ここのみ編集可）'!$BR$17:$BR$116,MATCH(A95&amp;B95,'計測入力シート（ここのみ編集可）'!$BO$17:$BO$116,0)),"")</f>
        <v/>
      </c>
      <c r="G96" s="278" t="str">
        <f t="array" ref="G96">IFERROR(INDEX('計測入力シート（ここのみ編集可）'!$BL$17:$BL$116,MATCH(A95&amp;B95,'計測入力シート（ここのみ編集可）'!$BO$17:$BO$116,0)),"")</f>
        <v/>
      </c>
      <c r="H96" s="279"/>
    </row>
    <row r="97" ht="27.0" customHeight="1">
      <c r="D97" s="280" t="s">
        <v>2</v>
      </c>
      <c r="E97" s="281" t="str">
        <f t="array" ref="E97">IFERROR(INDEX('計測入力シート（ここのみ編集可）'!$C$17:$C$116,MATCH(A95&amp;B95,'計測入力シート（ここのみ編集可）'!$BO$17:$BO$116,0)),"")</f>
        <v/>
      </c>
      <c r="F97" s="282" t="s">
        <v>17</v>
      </c>
      <c r="G97" s="283" t="str">
        <f t="array" ref="G97">IFERROR(INDEX('計測入力シート（ここのみ編集可）'!$D$17:$D$116,MATCH(A95&amp;B95,'計測入力シート（ここのみ編集可）'!$BO$17:$BO$116,0)),"")</f>
        <v/>
      </c>
      <c r="H97" s="284"/>
    </row>
    <row r="98" ht="27.0" customHeight="1">
      <c r="D98" s="285" t="s">
        <v>1</v>
      </c>
      <c r="E98" s="286" t="str">
        <f t="array" ref="E98">IFERROR(INDEX('計測入力シート（ここのみ編集可）'!$B$17:$B$116,MATCH(A95&amp;B95,'計測入力シート（ここのみ編集可）'!$BO$17:$BO$116,0)),"")</f>
        <v/>
      </c>
      <c r="F98" s="287" t="s">
        <v>18</v>
      </c>
      <c r="G98" s="288" t="str">
        <f t="array" ref="G98">IFERROR(INDEX('計測入力シート（ここのみ編集可）'!$E$17:$E$116,MATCH(A95&amp;B95,'計測入力シート（ここのみ編集可）'!$BO$17:$BO$116,0)),"")</f>
        <v/>
      </c>
      <c r="H98" s="289"/>
    </row>
    <row r="99" ht="24.75" customHeight="1">
      <c r="D99" s="290" t="s">
        <v>92</v>
      </c>
      <c r="E99" s="291" t="str">
        <f t="array" ref="E99">IFERROR(INDEX(#REF!,MATCH(A95&amp;B95,'計測入力シート（ここのみ編集可）'!$BO$17:$BO$116,0)),"")</f>
        <v/>
      </c>
      <c r="H99" s="232"/>
    </row>
    <row r="100" ht="52.5" customHeight="1">
      <c r="D100" s="292" t="s">
        <v>100</v>
      </c>
      <c r="E100" s="293" t="str">
        <f t="array" ref="E100">IFERROR(INDEX(#REF!,MATCH(A95&amp;B95,'計測入力シート（ここのみ編集可）'!$BO$17:$BO$116,0)),"")</f>
        <v/>
      </c>
      <c r="F100" s="95"/>
      <c r="G100" s="95"/>
      <c r="H100" s="96"/>
    </row>
    <row r="101" ht="20.25" customHeight="1">
      <c r="D101" s="294" t="s">
        <v>39</v>
      </c>
      <c r="E101" s="295" t="str">
        <f t="array" ref="E101">IFERROR(INDEX('計測入力シート（ここのみ編集可）'!$AW$17:$AW$116,MATCH(A95&amp;B95,'計測入力シート（ここのみ編集可）'!$BO$17:$BO$116,0)),"")</f>
        <v/>
      </c>
      <c r="F101" s="296"/>
      <c r="G101" s="297" t="s">
        <v>110</v>
      </c>
      <c r="H101" s="298" t="str">
        <f t="array" ref="H101">IFERROR(INDEX('計測入力シート（ここのみ編集可）'!$AY$17:$AY$116,MATCH(A95&amp;B95,'計測入力シート（ここのみ編集可）'!$BO$17:$BO$116,0)),"")</f>
        <v/>
      </c>
    </row>
    <row r="102" ht="20.25" customHeight="1">
      <c r="D102" s="299" t="s">
        <v>42</v>
      </c>
      <c r="E102" s="300" t="str">
        <f t="array" ref="E102">IFERROR(INDEX('計測入力シート（ここのみ編集可）'!$AZ$17:$AZ$116,MATCH(A95&amp;B95,'計測入力シート（ここのみ編集可）'!$BO$17:$BO$116,0)),"")</f>
        <v/>
      </c>
      <c r="F102" s="116"/>
      <c r="G102" s="301" t="s">
        <v>111</v>
      </c>
      <c r="H102" s="302" t="str">
        <f t="array" ref="H102">IFERROR(INDEX('計測入力シート（ここのみ編集可）'!$BB$17:$BB$116,MATCH(A95&amp;B95,'計測入力シート（ここのみ編集可）'!$BO$17:$BO$116,0)),"")</f>
        <v/>
      </c>
    </row>
    <row r="103" ht="20.25" customHeight="1">
      <c r="D103" s="303" t="s">
        <v>112</v>
      </c>
      <c r="E103" s="304" t="str">
        <f t="array" ref="E103">IFERROR(INDEX('計測入力シート（ここのみ編集可）'!$BC$17:$BC$116,MATCH(A95&amp;B95,'計測入力シート（ここのみ編集可）'!$BO$17:$BO$116,0)),"")</f>
        <v/>
      </c>
      <c r="F103" s="305"/>
      <c r="G103" s="306" t="s">
        <v>25</v>
      </c>
      <c r="H103" s="307" t="str">
        <f t="array" ref="H103">IFERROR(INDEX('計測入力シート（ここのみ編集可）'!$BD$17:$BD$116,MATCH(A95&amp;B95,'計測入力シート（ここのみ編集可）'!$BO$17:$BO$116,0)),"")</f>
        <v/>
      </c>
    </row>
    <row r="104" ht="20.25" customHeight="1">
      <c r="D104" s="308"/>
    </row>
    <row r="105" ht="27.0" customHeight="1">
      <c r="A105" s="52" t="str">
        <f>A95</f>
        <v>R</v>
      </c>
      <c r="B105" s="52">
        <f>B95+1</f>
        <v>11</v>
      </c>
      <c r="D105" s="271" t="s">
        <v>80</v>
      </c>
      <c r="E105" s="272" t="s">
        <v>81</v>
      </c>
      <c r="F105" s="272" t="s">
        <v>82</v>
      </c>
      <c r="G105" s="273" t="s">
        <v>49</v>
      </c>
      <c r="H105" s="274"/>
    </row>
    <row r="106" ht="27.0" customHeight="1">
      <c r="A106" s="86"/>
      <c r="B106" s="86"/>
      <c r="D106" s="275" t="str">
        <f t="array" ref="D106">IFERROR(INDEX('計測入力シート（ここのみ編集可）'!$BN$17:$BN$116,MATCH(A105&amp;B105,'計測入力シート（ここのみ編集可）'!$BO$17:$BO$116,0)),"")</f>
        <v/>
      </c>
      <c r="E106" s="276" t="str">
        <f t="array" ref="E106">IFERROR(INDEX('計測入力シート（ここのみ編集可）'!$BP$17:$BP$116,MATCH(A105&amp;B105,'計測入力シート（ここのみ編集可）'!$BO$17:$BO$116,0)),"")</f>
        <v/>
      </c>
      <c r="F106" s="277" t="str">
        <f t="array" ref="F106">IFERROR(INDEX('計測入力シート（ここのみ編集可）'!$BR$17:$BR$116,MATCH(A105&amp;B105,'計測入力シート（ここのみ編集可）'!$BO$17:$BO$116,0)),"")</f>
        <v/>
      </c>
      <c r="G106" s="278" t="str">
        <f t="array" ref="G106">IFERROR(INDEX('計測入力シート（ここのみ編集可）'!$BL$17:$BL$116,MATCH(A105&amp;B105,'計測入力シート（ここのみ編集可）'!$BO$17:$BO$116,0)),"")</f>
        <v/>
      </c>
      <c r="H106" s="279"/>
    </row>
    <row r="107" ht="27.0" customHeight="1">
      <c r="D107" s="280" t="s">
        <v>2</v>
      </c>
      <c r="E107" s="281" t="str">
        <f t="array" ref="E107">IFERROR(INDEX('計測入力シート（ここのみ編集可）'!$C$17:$C$116,MATCH(A105&amp;B105,'計測入力シート（ここのみ編集可）'!$BO$17:$BO$116,0)),"")</f>
        <v/>
      </c>
      <c r="F107" s="282" t="s">
        <v>17</v>
      </c>
      <c r="G107" s="283" t="str">
        <f t="array" ref="G107">IFERROR(INDEX('計測入力シート（ここのみ編集可）'!$D$17:$D$116,MATCH(A105&amp;B105,'計測入力シート（ここのみ編集可）'!$BO$17:$BO$116,0)),"")</f>
        <v/>
      </c>
      <c r="H107" s="284"/>
    </row>
    <row r="108" ht="27.0" customHeight="1">
      <c r="D108" s="285" t="s">
        <v>1</v>
      </c>
      <c r="E108" s="286" t="str">
        <f t="array" ref="E108">IFERROR(INDEX('計測入力シート（ここのみ編集可）'!$B$17:$B$116,MATCH(A105&amp;B105,'計測入力シート（ここのみ編集可）'!$BO$17:$BO$116,0)),"")</f>
        <v/>
      </c>
      <c r="F108" s="287" t="s">
        <v>18</v>
      </c>
      <c r="G108" s="288" t="str">
        <f t="array" ref="G108">IFERROR(INDEX('計測入力シート（ここのみ編集可）'!$E$17:$E$116,MATCH(A105&amp;B105,'計測入力シート（ここのみ編集可）'!$BO$17:$BO$116,0)),"")</f>
        <v/>
      </c>
      <c r="H108" s="289"/>
    </row>
    <row r="109" ht="24.75" customHeight="1">
      <c r="D109" s="290" t="s">
        <v>92</v>
      </c>
      <c r="E109" s="291" t="str">
        <f t="array" ref="E109">IFERROR(INDEX(#REF!,MATCH(A105&amp;B105,'計測入力シート（ここのみ編集可）'!$BO$17:$BO$116,0)),"")</f>
        <v/>
      </c>
      <c r="H109" s="232"/>
    </row>
    <row r="110" ht="52.5" customHeight="1">
      <c r="D110" s="292" t="s">
        <v>100</v>
      </c>
      <c r="E110" s="293" t="str">
        <f t="array" ref="E110">IFERROR(INDEX(#REF!,MATCH(A105&amp;B105,'計測入力シート（ここのみ編集可）'!$BO$17:$BO$116,0)),"")</f>
        <v/>
      </c>
      <c r="F110" s="95"/>
      <c r="G110" s="95"/>
      <c r="H110" s="96"/>
    </row>
    <row r="111" ht="20.25" customHeight="1">
      <c r="D111" s="294" t="s">
        <v>39</v>
      </c>
      <c r="E111" s="295" t="str">
        <f t="array" ref="E111">IFERROR(INDEX('計測入力シート（ここのみ編集可）'!$AW$17:$AW$116,MATCH(A105&amp;B105,'計測入力シート（ここのみ編集可）'!$BO$17:$BO$116,0)),"")</f>
        <v/>
      </c>
      <c r="F111" s="296"/>
      <c r="G111" s="297" t="s">
        <v>110</v>
      </c>
      <c r="H111" s="298" t="str">
        <f t="array" ref="H111">IFERROR(INDEX('計測入力シート（ここのみ編集可）'!$AY$17:$AY$116,MATCH(A105&amp;B105,'計測入力シート（ここのみ編集可）'!$BO$17:$BO$116,0)),"")</f>
        <v/>
      </c>
    </row>
    <row r="112" ht="20.25" customHeight="1">
      <c r="D112" s="299" t="s">
        <v>42</v>
      </c>
      <c r="E112" s="300" t="str">
        <f t="array" ref="E112">IFERROR(INDEX('計測入力シート（ここのみ編集可）'!$AZ$17:$AZ$116,MATCH(A105&amp;B105,'計測入力シート（ここのみ編集可）'!$BO$17:$BO$116,0)),"")</f>
        <v/>
      </c>
      <c r="F112" s="116"/>
      <c r="G112" s="301" t="s">
        <v>111</v>
      </c>
      <c r="H112" s="302" t="str">
        <f t="array" ref="H112">IFERROR(INDEX('計測入力シート（ここのみ編集可）'!$BB$17:$BB$116,MATCH(A105&amp;B105,'計測入力シート（ここのみ編集可）'!$BO$17:$BO$116,0)),"")</f>
        <v/>
      </c>
    </row>
    <row r="113" ht="20.25" customHeight="1">
      <c r="D113" s="303" t="s">
        <v>112</v>
      </c>
      <c r="E113" s="304" t="str">
        <f t="array" ref="E113">IFERROR(INDEX('計測入力シート（ここのみ編集可）'!$BC$17:$BC$116,MATCH(A105&amp;B105,'計測入力シート（ここのみ編集可）'!$BO$17:$BO$116,0)),"")</f>
        <v/>
      </c>
      <c r="F113" s="305"/>
      <c r="G113" s="306" t="s">
        <v>25</v>
      </c>
      <c r="H113" s="307" t="str">
        <f t="array" ref="H113">IFERROR(INDEX('計測入力シート（ここのみ編集可）'!$BD$17:$BD$116,MATCH(A105&amp;B105,'計測入力シート（ここのみ編集可）'!$BO$17:$BO$116,0)),"")</f>
        <v/>
      </c>
    </row>
    <row r="114" ht="20.25" customHeight="1">
      <c r="D114" s="308"/>
    </row>
    <row r="115" ht="27.0" customHeight="1">
      <c r="A115" s="52" t="str">
        <f>A105</f>
        <v>R</v>
      </c>
      <c r="B115" s="52">
        <f>B105+1</f>
        <v>12</v>
      </c>
      <c r="D115" s="271" t="s">
        <v>80</v>
      </c>
      <c r="E115" s="272" t="s">
        <v>81</v>
      </c>
      <c r="F115" s="272" t="s">
        <v>82</v>
      </c>
      <c r="G115" s="273" t="s">
        <v>49</v>
      </c>
      <c r="H115" s="274"/>
    </row>
    <row r="116" ht="27.0" customHeight="1">
      <c r="A116" s="86"/>
      <c r="B116" s="86"/>
      <c r="D116" s="275" t="str">
        <f t="array" ref="D116">IFERROR(INDEX('計測入力シート（ここのみ編集可）'!$BN$17:$BN$116,MATCH(A115&amp;B115,'計測入力シート（ここのみ編集可）'!$BO$17:$BO$116,0)),"")</f>
        <v/>
      </c>
      <c r="E116" s="276" t="str">
        <f t="array" ref="E116">IFERROR(INDEX('計測入力シート（ここのみ編集可）'!$BP$17:$BP$116,MATCH(A115&amp;B115,'計測入力シート（ここのみ編集可）'!$BO$17:$BO$116,0)),"")</f>
        <v/>
      </c>
      <c r="F116" s="277" t="str">
        <f t="array" ref="F116">IFERROR(INDEX('計測入力シート（ここのみ編集可）'!$BR$17:$BR$116,MATCH(A115&amp;B115,'計測入力シート（ここのみ編集可）'!$BO$17:$BO$116,0)),"")</f>
        <v/>
      </c>
      <c r="G116" s="278" t="str">
        <f t="array" ref="G116">IFERROR(INDEX('計測入力シート（ここのみ編集可）'!$BL$17:$BL$116,MATCH(A115&amp;B115,'計測入力シート（ここのみ編集可）'!$BO$17:$BO$116,0)),"")</f>
        <v/>
      </c>
      <c r="H116" s="279"/>
    </row>
    <row r="117" ht="27.0" customHeight="1">
      <c r="D117" s="280" t="s">
        <v>2</v>
      </c>
      <c r="E117" s="281" t="str">
        <f t="array" ref="E117">IFERROR(INDEX('計測入力シート（ここのみ編集可）'!$C$17:$C$116,MATCH(A115&amp;B115,'計測入力シート（ここのみ編集可）'!$BO$17:$BO$116,0)),"")</f>
        <v/>
      </c>
      <c r="F117" s="282" t="s">
        <v>17</v>
      </c>
      <c r="G117" s="283" t="str">
        <f t="array" ref="G117">IFERROR(INDEX('計測入力シート（ここのみ編集可）'!$D$17:$D$116,MATCH(A115&amp;B115,'計測入力シート（ここのみ編集可）'!$BO$17:$BO$116,0)),"")</f>
        <v/>
      </c>
      <c r="H117" s="284"/>
    </row>
    <row r="118" ht="27.0" customHeight="1">
      <c r="D118" s="285" t="s">
        <v>1</v>
      </c>
      <c r="E118" s="286" t="str">
        <f t="array" ref="E118">IFERROR(INDEX('計測入力シート（ここのみ編集可）'!$B$17:$B$116,MATCH(A115&amp;B115,'計測入力シート（ここのみ編集可）'!$BO$17:$BO$116,0)),"")</f>
        <v/>
      </c>
      <c r="F118" s="287" t="s">
        <v>18</v>
      </c>
      <c r="G118" s="288" t="str">
        <f t="array" ref="G118">IFERROR(INDEX('計測入力シート（ここのみ編集可）'!$E$17:$E$116,MATCH(A115&amp;B115,'計測入力シート（ここのみ編集可）'!$BO$17:$BO$116,0)),"")</f>
        <v/>
      </c>
      <c r="H118" s="289"/>
    </row>
    <row r="119" ht="24.75" customHeight="1">
      <c r="D119" s="290" t="s">
        <v>92</v>
      </c>
      <c r="E119" s="291" t="str">
        <f t="array" ref="E119">IFERROR(INDEX(#REF!,MATCH(A115&amp;B115,'計測入力シート（ここのみ編集可）'!$BO$17:$BO$116,0)),"")</f>
        <v/>
      </c>
      <c r="H119" s="232"/>
    </row>
    <row r="120" ht="52.5" customHeight="1">
      <c r="D120" s="292" t="s">
        <v>100</v>
      </c>
      <c r="E120" s="293" t="str">
        <f t="array" ref="E120">IFERROR(INDEX(#REF!,MATCH(A115&amp;B115,'計測入力シート（ここのみ編集可）'!$BO$17:$BO$116,0)),"")</f>
        <v/>
      </c>
      <c r="F120" s="95"/>
      <c r="G120" s="95"/>
      <c r="H120" s="96"/>
    </row>
    <row r="121" ht="20.25" customHeight="1">
      <c r="D121" s="294" t="s">
        <v>39</v>
      </c>
      <c r="E121" s="295" t="str">
        <f t="array" ref="E121">IFERROR(INDEX('計測入力シート（ここのみ編集可）'!$AW$17:$AW$116,MATCH(A115&amp;B115,'計測入力シート（ここのみ編集可）'!$BO$17:$BO$116,0)),"")</f>
        <v/>
      </c>
      <c r="F121" s="296"/>
      <c r="G121" s="297" t="s">
        <v>110</v>
      </c>
      <c r="H121" s="298" t="str">
        <f t="array" ref="H121">IFERROR(INDEX('計測入力シート（ここのみ編集可）'!$AY$17:$AY$116,MATCH(A115&amp;B115,'計測入力シート（ここのみ編集可）'!$BO$17:$BO$116,0)),"")</f>
        <v/>
      </c>
    </row>
    <row r="122" ht="20.25" customHeight="1">
      <c r="D122" s="299" t="s">
        <v>42</v>
      </c>
      <c r="E122" s="300" t="str">
        <f t="array" ref="E122">IFERROR(INDEX('計測入力シート（ここのみ編集可）'!$AZ$17:$AZ$116,MATCH(A115&amp;B115,'計測入力シート（ここのみ編集可）'!$BO$17:$BO$116,0)),"")</f>
        <v/>
      </c>
      <c r="F122" s="116"/>
      <c r="G122" s="301" t="s">
        <v>111</v>
      </c>
      <c r="H122" s="302" t="str">
        <f t="array" ref="H122">IFERROR(INDEX('計測入力シート（ここのみ編集可）'!$BB$17:$BB$116,MATCH(A115&amp;B115,'計測入力シート（ここのみ編集可）'!$BO$17:$BO$116,0)),"")</f>
        <v/>
      </c>
    </row>
    <row r="123" ht="20.25" customHeight="1">
      <c r="D123" s="303" t="s">
        <v>112</v>
      </c>
      <c r="E123" s="304" t="str">
        <f t="array" ref="E123">IFERROR(INDEX('計測入力シート（ここのみ編集可）'!$BC$17:$BC$116,MATCH(A115&amp;B115,'計測入力シート（ここのみ編集可）'!$BO$17:$BO$116,0)),"")</f>
        <v/>
      </c>
      <c r="F123" s="305"/>
      <c r="G123" s="306" t="s">
        <v>25</v>
      </c>
      <c r="H123" s="307" t="str">
        <f t="array" ref="H123">IFERROR(INDEX('計測入力シート（ここのみ編集可）'!$BD$17:$BD$116,MATCH(A115&amp;B115,'計測入力シート（ここのみ編集可）'!$BO$17:$BO$116,0)),"")</f>
        <v/>
      </c>
    </row>
    <row r="124" ht="20.25" customHeight="1">
      <c r="D124" s="308"/>
    </row>
    <row r="125" ht="27.0" customHeight="1">
      <c r="A125" s="52" t="str">
        <f>A115</f>
        <v>R</v>
      </c>
      <c r="B125" s="52">
        <f>B115+1</f>
        <v>13</v>
      </c>
      <c r="D125" s="271" t="s">
        <v>80</v>
      </c>
      <c r="E125" s="272" t="s">
        <v>81</v>
      </c>
      <c r="F125" s="272" t="s">
        <v>82</v>
      </c>
      <c r="G125" s="273" t="s">
        <v>49</v>
      </c>
      <c r="H125" s="274"/>
    </row>
    <row r="126" ht="27.0" customHeight="1">
      <c r="A126" s="86"/>
      <c r="B126" s="86"/>
      <c r="D126" s="275" t="str">
        <f t="array" ref="D126">IFERROR(INDEX('計測入力シート（ここのみ編集可）'!$BN$17:$BN$116,MATCH(A125&amp;B125,'計測入力シート（ここのみ編集可）'!$BO$17:$BO$116,0)),"")</f>
        <v/>
      </c>
      <c r="E126" s="276" t="str">
        <f t="array" ref="E126">IFERROR(INDEX('計測入力シート（ここのみ編集可）'!$BP$17:$BP$116,MATCH(A125&amp;B125,'計測入力シート（ここのみ編集可）'!$BO$17:$BO$116,0)),"")</f>
        <v/>
      </c>
      <c r="F126" s="277" t="str">
        <f t="array" ref="F126">IFERROR(INDEX('計測入力シート（ここのみ編集可）'!$BR$17:$BR$116,MATCH(A125&amp;B125,'計測入力シート（ここのみ編集可）'!$BO$17:$BO$116,0)),"")</f>
        <v/>
      </c>
      <c r="G126" s="278" t="str">
        <f t="array" ref="G126">IFERROR(INDEX('計測入力シート（ここのみ編集可）'!$BL$17:$BL$116,MATCH(A125&amp;B125,'計測入力シート（ここのみ編集可）'!$BO$17:$BO$116,0)),"")</f>
        <v/>
      </c>
      <c r="H126" s="279"/>
    </row>
    <row r="127" ht="27.0" customHeight="1">
      <c r="D127" s="280" t="s">
        <v>2</v>
      </c>
      <c r="E127" s="281" t="str">
        <f t="array" ref="E127">IFERROR(INDEX('計測入力シート（ここのみ編集可）'!$C$17:$C$116,MATCH(A125&amp;B125,'計測入力シート（ここのみ編集可）'!$BO$17:$BO$116,0)),"")</f>
        <v/>
      </c>
      <c r="F127" s="282" t="s">
        <v>17</v>
      </c>
      <c r="G127" s="283" t="str">
        <f t="array" ref="G127">IFERROR(INDEX('計測入力シート（ここのみ編集可）'!$D$17:$D$116,MATCH(A125&amp;B125,'計測入力シート（ここのみ編集可）'!$BO$17:$BO$116,0)),"")</f>
        <v/>
      </c>
      <c r="H127" s="284"/>
    </row>
    <row r="128" ht="27.0" customHeight="1">
      <c r="D128" s="285" t="s">
        <v>1</v>
      </c>
      <c r="E128" s="286" t="str">
        <f t="array" ref="E128">IFERROR(INDEX('計測入力シート（ここのみ編集可）'!$B$17:$B$116,MATCH(A125&amp;B125,'計測入力シート（ここのみ編集可）'!$BO$17:$BO$116,0)),"")</f>
        <v/>
      </c>
      <c r="F128" s="287" t="s">
        <v>18</v>
      </c>
      <c r="G128" s="288" t="str">
        <f t="array" ref="G128">IFERROR(INDEX('計測入力シート（ここのみ編集可）'!$E$17:$E$116,MATCH(A125&amp;B125,'計測入力シート（ここのみ編集可）'!$BO$17:$BO$116,0)),"")</f>
        <v/>
      </c>
      <c r="H128" s="289"/>
    </row>
    <row r="129" ht="24.75" customHeight="1">
      <c r="D129" s="290" t="s">
        <v>92</v>
      </c>
      <c r="E129" s="291" t="str">
        <f t="array" ref="E129">IFERROR(INDEX(#REF!,MATCH(A125&amp;B125,'計測入力シート（ここのみ編集可）'!$BO$17:$BO$116,0)),"")</f>
        <v/>
      </c>
      <c r="H129" s="232"/>
    </row>
    <row r="130" ht="52.5" customHeight="1">
      <c r="D130" s="292" t="s">
        <v>100</v>
      </c>
      <c r="E130" s="293" t="str">
        <f t="array" ref="E130">IFERROR(INDEX(#REF!,MATCH(A125&amp;B125,'計測入力シート（ここのみ編集可）'!$BO$17:$BO$116,0)),"")</f>
        <v/>
      </c>
      <c r="F130" s="95"/>
      <c r="G130" s="95"/>
      <c r="H130" s="96"/>
    </row>
    <row r="131" ht="20.25" customHeight="1">
      <c r="D131" s="294" t="s">
        <v>39</v>
      </c>
      <c r="E131" s="295" t="str">
        <f t="array" ref="E131">IFERROR(INDEX('計測入力シート（ここのみ編集可）'!$AW$17:$AW$116,MATCH(A125&amp;B125,'計測入力シート（ここのみ編集可）'!$BO$17:$BO$116,0)),"")</f>
        <v/>
      </c>
      <c r="F131" s="296"/>
      <c r="G131" s="297" t="s">
        <v>110</v>
      </c>
      <c r="H131" s="298" t="str">
        <f t="array" ref="H131">IFERROR(INDEX('計測入力シート（ここのみ編集可）'!$AY$17:$AY$116,MATCH(A125&amp;B125,'計測入力シート（ここのみ編集可）'!$BO$17:$BO$116,0)),"")</f>
        <v/>
      </c>
    </row>
    <row r="132" ht="20.25" customHeight="1">
      <c r="D132" s="299" t="s">
        <v>42</v>
      </c>
      <c r="E132" s="300" t="str">
        <f t="array" ref="E132">IFERROR(INDEX('計測入力シート（ここのみ編集可）'!$AZ$17:$AZ$116,MATCH(A125&amp;B125,'計測入力シート（ここのみ編集可）'!$BO$17:$BO$116,0)),"")</f>
        <v/>
      </c>
      <c r="F132" s="116"/>
      <c r="G132" s="301" t="s">
        <v>111</v>
      </c>
      <c r="H132" s="302" t="str">
        <f t="array" ref="H132">IFERROR(INDEX('計測入力シート（ここのみ編集可）'!$BB$17:$BB$116,MATCH(A125&amp;B125,'計測入力シート（ここのみ編集可）'!$BO$17:$BO$116,0)),"")</f>
        <v/>
      </c>
    </row>
    <row r="133" ht="20.25" customHeight="1">
      <c r="D133" s="303" t="s">
        <v>112</v>
      </c>
      <c r="E133" s="304" t="str">
        <f t="array" ref="E133">IFERROR(INDEX('計測入力シート（ここのみ編集可）'!$BC$17:$BC$116,MATCH(A125&amp;B125,'計測入力シート（ここのみ編集可）'!$BO$17:$BO$116,0)),"")</f>
        <v/>
      </c>
      <c r="F133" s="305"/>
      <c r="G133" s="306" t="s">
        <v>25</v>
      </c>
      <c r="H133" s="307" t="str">
        <f t="array" ref="H133">IFERROR(INDEX('計測入力シート（ここのみ編集可）'!$BD$17:$BD$116,MATCH(A125&amp;B125,'計測入力シート（ここのみ編集可）'!$BO$17:$BO$116,0)),"")</f>
        <v/>
      </c>
    </row>
    <row r="134" ht="20.25" customHeight="1">
      <c r="D134" s="308"/>
    </row>
    <row r="135" ht="27.0" customHeight="1">
      <c r="A135" s="52" t="str">
        <f>A125</f>
        <v>R</v>
      </c>
      <c r="B135" s="52">
        <f>B125+1</f>
        <v>14</v>
      </c>
      <c r="D135" s="271" t="s">
        <v>80</v>
      </c>
      <c r="E135" s="272" t="s">
        <v>81</v>
      </c>
      <c r="F135" s="272" t="s">
        <v>82</v>
      </c>
      <c r="G135" s="273" t="s">
        <v>49</v>
      </c>
      <c r="H135" s="274"/>
    </row>
    <row r="136" ht="27.0" customHeight="1">
      <c r="A136" s="86"/>
      <c r="B136" s="86"/>
      <c r="D136" s="275" t="str">
        <f t="array" ref="D136">IFERROR(INDEX('計測入力シート（ここのみ編集可）'!$BN$17:$BN$116,MATCH(A135&amp;B135,'計測入力シート（ここのみ編集可）'!$BO$17:$BO$116,0)),"")</f>
        <v/>
      </c>
      <c r="E136" s="276" t="str">
        <f t="array" ref="E136">IFERROR(INDEX('計測入力シート（ここのみ編集可）'!$BP$17:$BP$116,MATCH(A135&amp;B135,'計測入力シート（ここのみ編集可）'!$BO$17:$BO$116,0)),"")</f>
        <v/>
      </c>
      <c r="F136" s="277" t="str">
        <f t="array" ref="F136">IFERROR(INDEX('計測入力シート（ここのみ編集可）'!$BR$17:$BR$116,MATCH(A135&amp;B135,'計測入力シート（ここのみ編集可）'!$BO$17:$BO$116,0)),"")</f>
        <v/>
      </c>
      <c r="G136" s="278" t="str">
        <f t="array" ref="G136">IFERROR(INDEX('計測入力シート（ここのみ編集可）'!$BL$17:$BL$116,MATCH(A135&amp;B135,'計測入力シート（ここのみ編集可）'!$BO$17:$BO$116,0)),"")</f>
        <v/>
      </c>
      <c r="H136" s="279"/>
    </row>
    <row r="137" ht="27.0" customHeight="1">
      <c r="D137" s="280" t="s">
        <v>2</v>
      </c>
      <c r="E137" s="281" t="str">
        <f t="array" ref="E137">IFERROR(INDEX('計測入力シート（ここのみ編集可）'!$C$17:$C$116,MATCH(A135&amp;B135,'計測入力シート（ここのみ編集可）'!$BO$17:$BO$116,0)),"")</f>
        <v/>
      </c>
      <c r="F137" s="282" t="s">
        <v>17</v>
      </c>
      <c r="G137" s="283" t="str">
        <f t="array" ref="G137">IFERROR(INDEX('計測入力シート（ここのみ編集可）'!$D$17:$D$116,MATCH(A135&amp;B135,'計測入力シート（ここのみ編集可）'!$BO$17:$BO$116,0)),"")</f>
        <v/>
      </c>
      <c r="H137" s="284"/>
    </row>
    <row r="138" ht="27.0" customHeight="1">
      <c r="D138" s="285" t="s">
        <v>1</v>
      </c>
      <c r="E138" s="286" t="str">
        <f t="array" ref="E138">IFERROR(INDEX('計測入力シート（ここのみ編集可）'!$B$17:$B$116,MATCH(A135&amp;B135,'計測入力シート（ここのみ編集可）'!$BO$17:$BO$116,0)),"")</f>
        <v/>
      </c>
      <c r="F138" s="287" t="s">
        <v>18</v>
      </c>
      <c r="G138" s="288" t="str">
        <f t="array" ref="G138">IFERROR(INDEX('計測入力シート（ここのみ編集可）'!$E$17:$E$116,MATCH(A135&amp;B135,'計測入力シート（ここのみ編集可）'!$BO$17:$BO$116,0)),"")</f>
        <v/>
      </c>
      <c r="H138" s="289"/>
    </row>
    <row r="139" ht="24.75" customHeight="1">
      <c r="D139" s="290" t="s">
        <v>92</v>
      </c>
      <c r="E139" s="291" t="str">
        <f t="array" ref="E139">IFERROR(INDEX(#REF!,MATCH(A135&amp;B135,'計測入力シート（ここのみ編集可）'!$BO$17:$BO$116,0)),"")</f>
        <v/>
      </c>
      <c r="H139" s="232"/>
    </row>
    <row r="140" ht="52.5" customHeight="1">
      <c r="D140" s="292" t="s">
        <v>100</v>
      </c>
      <c r="E140" s="293" t="str">
        <f t="array" ref="E140">IFERROR(INDEX(#REF!,MATCH(A135&amp;B135,'計測入力シート（ここのみ編集可）'!$BO$17:$BO$116,0)),"")</f>
        <v/>
      </c>
      <c r="F140" s="95"/>
      <c r="G140" s="95"/>
      <c r="H140" s="96"/>
    </row>
    <row r="141" ht="20.25" customHeight="1">
      <c r="D141" s="294" t="s">
        <v>39</v>
      </c>
      <c r="E141" s="295" t="str">
        <f t="array" ref="E141">IFERROR(INDEX('計測入力シート（ここのみ編集可）'!$AW$17:$AW$116,MATCH(A135&amp;B135,'計測入力シート（ここのみ編集可）'!$BO$17:$BO$116,0)),"")</f>
        <v/>
      </c>
      <c r="F141" s="296"/>
      <c r="G141" s="297" t="s">
        <v>110</v>
      </c>
      <c r="H141" s="298" t="str">
        <f t="array" ref="H141">IFERROR(INDEX('計測入力シート（ここのみ編集可）'!$AY$17:$AY$116,MATCH(A135&amp;B135,'計測入力シート（ここのみ編集可）'!$BO$17:$BO$116,0)),"")</f>
        <v/>
      </c>
    </row>
    <row r="142" ht="20.25" customHeight="1">
      <c r="D142" s="299" t="s">
        <v>42</v>
      </c>
      <c r="E142" s="300" t="str">
        <f t="array" ref="E142">IFERROR(INDEX('計測入力シート（ここのみ編集可）'!$AZ$17:$AZ$116,MATCH(A135&amp;B135,'計測入力シート（ここのみ編集可）'!$BO$17:$BO$116,0)),"")</f>
        <v/>
      </c>
      <c r="F142" s="116"/>
      <c r="G142" s="301" t="s">
        <v>111</v>
      </c>
      <c r="H142" s="302" t="str">
        <f t="array" ref="H142">IFERROR(INDEX('計測入力シート（ここのみ編集可）'!$BB$17:$BB$116,MATCH(A135&amp;B135,'計測入力シート（ここのみ編集可）'!$BO$17:$BO$116,0)),"")</f>
        <v/>
      </c>
    </row>
    <row r="143" ht="20.25" customHeight="1">
      <c r="D143" s="303" t="s">
        <v>112</v>
      </c>
      <c r="E143" s="304" t="str">
        <f t="array" ref="E143">IFERROR(INDEX('計測入力シート（ここのみ編集可）'!$BC$17:$BC$116,MATCH(A135&amp;B135,'計測入力シート（ここのみ編集可）'!$BO$17:$BO$116,0)),"")</f>
        <v/>
      </c>
      <c r="F143" s="305"/>
      <c r="G143" s="306" t="s">
        <v>25</v>
      </c>
      <c r="H143" s="307" t="str">
        <f t="array" ref="H143">IFERROR(INDEX('計測入力シート（ここのみ編集可）'!$BD$17:$BD$116,MATCH(A135&amp;B135,'計測入力シート（ここのみ編集可）'!$BO$17:$BO$116,0)),"")</f>
        <v/>
      </c>
    </row>
    <row r="144" ht="20.25" customHeight="1">
      <c r="D144" s="308"/>
    </row>
    <row r="145" ht="27.0" customHeight="1">
      <c r="A145" s="52" t="str">
        <f>A135</f>
        <v>R</v>
      </c>
      <c r="B145" s="52">
        <f>B135+1</f>
        <v>15</v>
      </c>
      <c r="D145" s="271" t="s">
        <v>80</v>
      </c>
      <c r="E145" s="272" t="s">
        <v>81</v>
      </c>
      <c r="F145" s="272" t="s">
        <v>82</v>
      </c>
      <c r="G145" s="273" t="s">
        <v>49</v>
      </c>
      <c r="H145" s="274"/>
    </row>
    <row r="146" ht="27.0" customHeight="1">
      <c r="A146" s="86"/>
      <c r="B146" s="86"/>
      <c r="D146" s="275" t="str">
        <f t="array" ref="D146">IFERROR(INDEX('計測入力シート（ここのみ編集可）'!$BN$17:$BN$116,MATCH(A145&amp;B145,'計測入力シート（ここのみ編集可）'!$BO$17:$BO$116,0)),"")</f>
        <v/>
      </c>
      <c r="E146" s="276" t="str">
        <f t="array" ref="E146">IFERROR(INDEX('計測入力シート（ここのみ編集可）'!$BP$17:$BP$116,MATCH(A145&amp;B145,'計測入力シート（ここのみ編集可）'!$BO$17:$BO$116,0)),"")</f>
        <v/>
      </c>
      <c r="F146" s="277" t="str">
        <f t="array" ref="F146">IFERROR(INDEX('計測入力シート（ここのみ編集可）'!$BR$17:$BR$116,MATCH(A145&amp;B145,'計測入力シート（ここのみ編集可）'!$BO$17:$BO$116,0)),"")</f>
        <v/>
      </c>
      <c r="G146" s="278" t="str">
        <f t="array" ref="G146">IFERROR(INDEX('計測入力シート（ここのみ編集可）'!$BL$17:$BL$116,MATCH(A145&amp;B145,'計測入力シート（ここのみ編集可）'!$BO$17:$BO$116,0)),"")</f>
        <v/>
      </c>
      <c r="H146" s="279"/>
    </row>
    <row r="147" ht="27.0" customHeight="1">
      <c r="D147" s="280" t="s">
        <v>2</v>
      </c>
      <c r="E147" s="281" t="str">
        <f t="array" ref="E147">IFERROR(INDEX('計測入力シート（ここのみ編集可）'!$C$17:$C$116,MATCH(A145&amp;B145,'計測入力シート（ここのみ編集可）'!$BO$17:$BO$116,0)),"")</f>
        <v/>
      </c>
      <c r="F147" s="282" t="s">
        <v>17</v>
      </c>
      <c r="G147" s="283" t="str">
        <f t="array" ref="G147">IFERROR(INDEX('計測入力シート（ここのみ編集可）'!$D$17:$D$116,MATCH(A145&amp;B145,'計測入力シート（ここのみ編集可）'!$BO$17:$BO$116,0)),"")</f>
        <v/>
      </c>
      <c r="H147" s="284"/>
    </row>
    <row r="148" ht="27.0" customHeight="1">
      <c r="D148" s="285" t="s">
        <v>1</v>
      </c>
      <c r="E148" s="286" t="str">
        <f t="array" ref="E148">IFERROR(INDEX('計測入力シート（ここのみ編集可）'!$B$17:$B$116,MATCH(A145&amp;B145,'計測入力シート（ここのみ編集可）'!$BO$17:$BO$116,0)),"")</f>
        <v/>
      </c>
      <c r="F148" s="287" t="s">
        <v>18</v>
      </c>
      <c r="G148" s="288" t="str">
        <f t="array" ref="G148">IFERROR(INDEX('計測入力シート（ここのみ編集可）'!$E$17:$E$116,MATCH(A145&amp;B145,'計測入力シート（ここのみ編集可）'!$BO$17:$BO$116,0)),"")</f>
        <v/>
      </c>
      <c r="H148" s="289"/>
    </row>
    <row r="149" ht="24.75" customHeight="1">
      <c r="D149" s="290" t="s">
        <v>92</v>
      </c>
      <c r="E149" s="291" t="str">
        <f t="array" ref="E149">IFERROR(INDEX(#REF!,MATCH(A145&amp;B145,'計測入力シート（ここのみ編集可）'!$BO$17:$BO$116,0)),"")</f>
        <v/>
      </c>
      <c r="H149" s="232"/>
    </row>
    <row r="150" ht="52.5" customHeight="1">
      <c r="D150" s="292" t="s">
        <v>100</v>
      </c>
      <c r="E150" s="293" t="str">
        <f t="array" ref="E150">IFERROR(INDEX(#REF!,MATCH(A145&amp;B145,'計測入力シート（ここのみ編集可）'!$BO$17:$BO$116,0)),"")</f>
        <v/>
      </c>
      <c r="F150" s="95"/>
      <c r="G150" s="95"/>
      <c r="H150" s="96"/>
    </row>
    <row r="151" ht="20.25" customHeight="1">
      <c r="D151" s="294" t="s">
        <v>39</v>
      </c>
      <c r="E151" s="295" t="str">
        <f t="array" ref="E151">IFERROR(INDEX('計測入力シート（ここのみ編集可）'!$AW$17:$AW$116,MATCH(A145&amp;B145,'計測入力シート（ここのみ編集可）'!$BO$17:$BO$116,0)),"")</f>
        <v/>
      </c>
      <c r="F151" s="296"/>
      <c r="G151" s="297" t="s">
        <v>110</v>
      </c>
      <c r="H151" s="298" t="str">
        <f t="array" ref="H151">IFERROR(INDEX('計測入力シート（ここのみ編集可）'!$AY$17:$AY$116,MATCH(A145&amp;B145,'計測入力シート（ここのみ編集可）'!$BO$17:$BO$116,0)),"")</f>
        <v/>
      </c>
    </row>
    <row r="152" ht="20.25" customHeight="1">
      <c r="D152" s="299" t="s">
        <v>42</v>
      </c>
      <c r="E152" s="300" t="str">
        <f t="array" ref="E152">IFERROR(INDEX('計測入力シート（ここのみ編集可）'!$AZ$17:$AZ$116,MATCH(A145&amp;B145,'計測入力シート（ここのみ編集可）'!$BO$17:$BO$116,0)),"")</f>
        <v/>
      </c>
      <c r="F152" s="116"/>
      <c r="G152" s="301" t="s">
        <v>111</v>
      </c>
      <c r="H152" s="302" t="str">
        <f t="array" ref="H152">IFERROR(INDEX('計測入力シート（ここのみ編集可）'!$BB$17:$BB$116,MATCH(A145&amp;B145,'計測入力シート（ここのみ編集可）'!$BO$17:$BO$116,0)),"")</f>
        <v/>
      </c>
    </row>
    <row r="153" ht="20.25" customHeight="1">
      <c r="D153" s="303" t="s">
        <v>112</v>
      </c>
      <c r="E153" s="304" t="str">
        <f t="array" ref="E153">IFERROR(INDEX('計測入力シート（ここのみ編集可）'!$BC$17:$BC$116,MATCH(A145&amp;B145,'計測入力シート（ここのみ編集可）'!$BO$17:$BO$116,0)),"")</f>
        <v/>
      </c>
      <c r="F153" s="305"/>
      <c r="G153" s="306" t="s">
        <v>25</v>
      </c>
      <c r="H153" s="307" t="str">
        <f t="array" ref="H153">IFERROR(INDEX('計測入力シート（ここのみ編集可）'!$BD$17:$BD$116,MATCH(A145&amp;B145,'計測入力シート（ここのみ編集可）'!$BO$17:$BO$116,0)),"")</f>
        <v/>
      </c>
    </row>
    <row r="154" ht="20.25" customHeight="1">
      <c r="D154" s="308"/>
    </row>
    <row r="155" ht="27.0" customHeight="1">
      <c r="A155" s="52" t="str">
        <f>A145</f>
        <v>R</v>
      </c>
      <c r="B155" s="52">
        <f>B145+1</f>
        <v>16</v>
      </c>
      <c r="D155" s="271" t="s">
        <v>80</v>
      </c>
      <c r="E155" s="272" t="s">
        <v>81</v>
      </c>
      <c r="F155" s="272" t="s">
        <v>82</v>
      </c>
      <c r="G155" s="273" t="s">
        <v>49</v>
      </c>
      <c r="H155" s="274"/>
    </row>
    <row r="156" ht="27.0" customHeight="1">
      <c r="A156" s="86"/>
      <c r="B156" s="86"/>
      <c r="D156" s="275" t="str">
        <f t="array" ref="D156">IFERROR(INDEX('計測入力シート（ここのみ編集可）'!$BN$17:$BN$116,MATCH(A155&amp;B155,'計測入力シート（ここのみ編集可）'!$BO$17:$BO$116,0)),"")</f>
        <v/>
      </c>
      <c r="E156" s="276" t="str">
        <f t="array" ref="E156">IFERROR(INDEX('計測入力シート（ここのみ編集可）'!$BP$17:$BP$116,MATCH(A155&amp;B155,'計測入力シート（ここのみ編集可）'!$BO$17:$BO$116,0)),"")</f>
        <v/>
      </c>
      <c r="F156" s="277" t="str">
        <f t="array" ref="F156">IFERROR(INDEX('計測入力シート（ここのみ編集可）'!$BR$17:$BR$116,MATCH(A155&amp;B155,'計測入力シート（ここのみ編集可）'!$BO$17:$BO$116,0)),"")</f>
        <v/>
      </c>
      <c r="G156" s="278" t="str">
        <f t="array" ref="G156">IFERROR(INDEX('計測入力シート（ここのみ編集可）'!$BL$17:$BL$116,MATCH(A155&amp;B155,'計測入力シート（ここのみ編集可）'!$BO$17:$BO$116,0)),"")</f>
        <v/>
      </c>
      <c r="H156" s="279"/>
    </row>
    <row r="157" ht="27.0" customHeight="1">
      <c r="D157" s="280" t="s">
        <v>2</v>
      </c>
      <c r="E157" s="281" t="str">
        <f t="array" ref="E157">IFERROR(INDEX('計測入力シート（ここのみ編集可）'!$C$17:$C$116,MATCH(A155&amp;B155,'計測入力シート（ここのみ編集可）'!$BO$17:$BO$116,0)),"")</f>
        <v/>
      </c>
      <c r="F157" s="282" t="s">
        <v>17</v>
      </c>
      <c r="G157" s="283" t="str">
        <f t="array" ref="G157">IFERROR(INDEX('計測入力シート（ここのみ編集可）'!$D$17:$D$116,MATCH(A155&amp;B155,'計測入力シート（ここのみ編集可）'!$BO$17:$BO$116,0)),"")</f>
        <v/>
      </c>
      <c r="H157" s="284"/>
    </row>
    <row r="158" ht="27.0" customHeight="1">
      <c r="D158" s="285" t="s">
        <v>1</v>
      </c>
      <c r="E158" s="286" t="str">
        <f t="array" ref="E158">IFERROR(INDEX('計測入力シート（ここのみ編集可）'!$B$17:$B$116,MATCH(A155&amp;B155,'計測入力シート（ここのみ編集可）'!$BO$17:$BO$116,0)),"")</f>
        <v/>
      </c>
      <c r="F158" s="287" t="s">
        <v>18</v>
      </c>
      <c r="G158" s="288" t="str">
        <f t="array" ref="G158">IFERROR(INDEX('計測入力シート（ここのみ編集可）'!$E$17:$E$116,MATCH(A155&amp;B155,'計測入力シート（ここのみ編集可）'!$BO$17:$BO$116,0)),"")</f>
        <v/>
      </c>
      <c r="H158" s="289"/>
    </row>
    <row r="159" ht="24.75" customHeight="1">
      <c r="D159" s="290" t="s">
        <v>92</v>
      </c>
      <c r="E159" s="291" t="str">
        <f t="array" ref="E159">IFERROR(INDEX(#REF!,MATCH(A155&amp;B155,'計測入力シート（ここのみ編集可）'!$BO$17:$BO$116,0)),"")</f>
        <v/>
      </c>
      <c r="H159" s="232"/>
    </row>
    <row r="160" ht="52.5" customHeight="1">
      <c r="D160" s="292" t="s">
        <v>100</v>
      </c>
      <c r="E160" s="293" t="str">
        <f t="array" ref="E160">IFERROR(INDEX(#REF!,MATCH(A155&amp;B155,'計測入力シート（ここのみ編集可）'!$BO$17:$BO$116,0)),"")</f>
        <v/>
      </c>
      <c r="F160" s="95"/>
      <c r="G160" s="95"/>
      <c r="H160" s="96"/>
    </row>
    <row r="161" ht="20.25" customHeight="1">
      <c r="D161" s="294" t="s">
        <v>39</v>
      </c>
      <c r="E161" s="295" t="str">
        <f t="array" ref="E161">IFERROR(INDEX('計測入力シート（ここのみ編集可）'!$AW$17:$AW$116,MATCH(A155&amp;B155,'計測入力シート（ここのみ編集可）'!$BO$17:$BO$116,0)),"")</f>
        <v/>
      </c>
      <c r="F161" s="296"/>
      <c r="G161" s="297" t="s">
        <v>110</v>
      </c>
      <c r="H161" s="298" t="str">
        <f t="array" ref="H161">IFERROR(INDEX('計測入力シート（ここのみ編集可）'!$AY$17:$AY$116,MATCH(A155&amp;B155,'計測入力シート（ここのみ編集可）'!$BO$17:$BO$116,0)),"")</f>
        <v/>
      </c>
    </row>
    <row r="162" ht="20.25" customHeight="1">
      <c r="D162" s="299" t="s">
        <v>42</v>
      </c>
      <c r="E162" s="300" t="str">
        <f t="array" ref="E162">IFERROR(INDEX('計測入力シート（ここのみ編集可）'!$AZ$17:$AZ$116,MATCH(A155&amp;B155,'計測入力シート（ここのみ編集可）'!$BO$17:$BO$116,0)),"")</f>
        <v/>
      </c>
      <c r="F162" s="116"/>
      <c r="G162" s="301" t="s">
        <v>111</v>
      </c>
      <c r="H162" s="302" t="str">
        <f t="array" ref="H162">IFERROR(INDEX('計測入力シート（ここのみ編集可）'!$BB$17:$BB$116,MATCH(A155&amp;B155,'計測入力シート（ここのみ編集可）'!$BO$17:$BO$116,0)),"")</f>
        <v/>
      </c>
    </row>
    <row r="163" ht="20.25" customHeight="1">
      <c r="D163" s="303" t="s">
        <v>112</v>
      </c>
      <c r="E163" s="304" t="str">
        <f t="array" ref="E163">IFERROR(INDEX('計測入力シート（ここのみ編集可）'!$BC$17:$BC$116,MATCH(A155&amp;B155,'計測入力シート（ここのみ編集可）'!$BO$17:$BO$116,0)),"")</f>
        <v/>
      </c>
      <c r="F163" s="305"/>
      <c r="G163" s="306" t="s">
        <v>25</v>
      </c>
      <c r="H163" s="307" t="str">
        <f t="array" ref="H163">IFERROR(INDEX('計測入力シート（ここのみ編集可）'!$BD$17:$BD$116,MATCH(A155&amp;B155,'計測入力シート（ここのみ編集可）'!$BO$17:$BO$116,0)),"")</f>
        <v/>
      </c>
    </row>
    <row r="164" ht="20.25" customHeight="1">
      <c r="D164" s="308"/>
    </row>
    <row r="165" ht="27.0" customHeight="1">
      <c r="A165" s="52" t="str">
        <f>A155</f>
        <v>R</v>
      </c>
      <c r="B165" s="52">
        <f>B155+1</f>
        <v>17</v>
      </c>
      <c r="D165" s="271" t="s">
        <v>80</v>
      </c>
      <c r="E165" s="272" t="s">
        <v>81</v>
      </c>
      <c r="F165" s="272" t="s">
        <v>82</v>
      </c>
      <c r="G165" s="273" t="s">
        <v>49</v>
      </c>
      <c r="H165" s="274"/>
    </row>
    <row r="166" ht="27.0" customHeight="1">
      <c r="A166" s="86"/>
      <c r="B166" s="86"/>
      <c r="D166" s="275" t="str">
        <f t="array" ref="D166">IFERROR(INDEX('計測入力シート（ここのみ編集可）'!$BN$17:$BN$116,MATCH(A165&amp;B165,'計測入力シート（ここのみ編集可）'!$BO$17:$BO$116,0)),"")</f>
        <v/>
      </c>
      <c r="E166" s="276" t="str">
        <f t="array" ref="E166">IFERROR(INDEX('計測入力シート（ここのみ編集可）'!$BP$17:$BP$116,MATCH(A165&amp;B165,'計測入力シート（ここのみ編集可）'!$BO$17:$BO$116,0)),"")</f>
        <v/>
      </c>
      <c r="F166" s="277" t="str">
        <f t="array" ref="F166">IFERROR(INDEX('計測入力シート（ここのみ編集可）'!$BR$17:$BR$116,MATCH(A165&amp;B165,'計測入力シート（ここのみ編集可）'!$BO$17:$BO$116,0)),"")</f>
        <v/>
      </c>
      <c r="G166" s="278" t="str">
        <f t="array" ref="G166">IFERROR(INDEX('計測入力シート（ここのみ編集可）'!$BL$17:$BL$116,MATCH(A165&amp;B165,'計測入力シート（ここのみ編集可）'!$BO$17:$BO$116,0)),"")</f>
        <v/>
      </c>
      <c r="H166" s="279"/>
    </row>
    <row r="167" ht="27.0" customHeight="1">
      <c r="D167" s="280" t="s">
        <v>2</v>
      </c>
      <c r="E167" s="281" t="str">
        <f t="array" ref="E167">IFERROR(INDEX('計測入力シート（ここのみ編集可）'!$C$17:$C$116,MATCH(A165&amp;B165,'計測入力シート（ここのみ編集可）'!$BO$17:$BO$116,0)),"")</f>
        <v/>
      </c>
      <c r="F167" s="282" t="s">
        <v>17</v>
      </c>
      <c r="G167" s="283" t="str">
        <f t="array" ref="G167">IFERROR(INDEX('計測入力シート（ここのみ編集可）'!$D$17:$D$116,MATCH(A165&amp;B165,'計測入力シート（ここのみ編集可）'!$BO$17:$BO$116,0)),"")</f>
        <v/>
      </c>
      <c r="H167" s="284"/>
    </row>
    <row r="168" ht="27.0" customHeight="1">
      <c r="D168" s="285" t="s">
        <v>1</v>
      </c>
      <c r="E168" s="286" t="str">
        <f t="array" ref="E168">IFERROR(INDEX('計測入力シート（ここのみ編集可）'!$B$17:$B$116,MATCH(A165&amp;B165,'計測入力シート（ここのみ編集可）'!$BO$17:$BO$116,0)),"")</f>
        <v/>
      </c>
      <c r="F168" s="287" t="s">
        <v>18</v>
      </c>
      <c r="G168" s="288" t="str">
        <f t="array" ref="G168">IFERROR(INDEX('計測入力シート（ここのみ編集可）'!$E$17:$E$116,MATCH(A165&amp;B165,'計測入力シート（ここのみ編集可）'!$BO$17:$BO$116,0)),"")</f>
        <v/>
      </c>
      <c r="H168" s="289"/>
    </row>
    <row r="169" ht="24.75" customHeight="1">
      <c r="D169" s="290" t="s">
        <v>92</v>
      </c>
      <c r="E169" s="291" t="str">
        <f t="array" ref="E169">IFERROR(INDEX(#REF!,MATCH(A165&amp;B165,'計測入力シート（ここのみ編集可）'!$BO$17:$BO$116,0)),"")</f>
        <v/>
      </c>
      <c r="H169" s="232"/>
    </row>
    <row r="170" ht="52.5" customHeight="1">
      <c r="D170" s="292" t="s">
        <v>100</v>
      </c>
      <c r="E170" s="293" t="str">
        <f t="array" ref="E170">IFERROR(INDEX(#REF!,MATCH(A165&amp;B165,'計測入力シート（ここのみ編集可）'!$BO$17:$BO$116,0)),"")</f>
        <v/>
      </c>
      <c r="F170" s="95"/>
      <c r="G170" s="95"/>
      <c r="H170" s="96"/>
    </row>
    <row r="171" ht="20.25" customHeight="1">
      <c r="D171" s="294" t="s">
        <v>39</v>
      </c>
      <c r="E171" s="295" t="str">
        <f t="array" ref="E171">IFERROR(INDEX('計測入力シート（ここのみ編集可）'!$AW$17:$AW$116,MATCH(A165&amp;B165,'計測入力シート（ここのみ編集可）'!$BO$17:$BO$116,0)),"")</f>
        <v/>
      </c>
      <c r="F171" s="296"/>
      <c r="G171" s="297" t="s">
        <v>110</v>
      </c>
      <c r="H171" s="298" t="str">
        <f t="array" ref="H171">IFERROR(INDEX('計測入力シート（ここのみ編集可）'!$AY$17:$AY$116,MATCH(A165&amp;B165,'計測入力シート（ここのみ編集可）'!$BO$17:$BO$116,0)),"")</f>
        <v/>
      </c>
    </row>
    <row r="172" ht="20.25" customHeight="1">
      <c r="D172" s="299" t="s">
        <v>42</v>
      </c>
      <c r="E172" s="300" t="str">
        <f t="array" ref="E172">IFERROR(INDEX('計測入力シート（ここのみ編集可）'!$AZ$17:$AZ$116,MATCH(A165&amp;B165,'計測入力シート（ここのみ編集可）'!$BO$17:$BO$116,0)),"")</f>
        <v/>
      </c>
      <c r="F172" s="116"/>
      <c r="G172" s="301" t="s">
        <v>111</v>
      </c>
      <c r="H172" s="302" t="str">
        <f t="array" ref="H172">IFERROR(INDEX('計測入力シート（ここのみ編集可）'!$BB$17:$BB$116,MATCH(A165&amp;B165,'計測入力シート（ここのみ編集可）'!$BO$17:$BO$116,0)),"")</f>
        <v/>
      </c>
    </row>
    <row r="173" ht="20.25" customHeight="1">
      <c r="D173" s="303" t="s">
        <v>112</v>
      </c>
      <c r="E173" s="304" t="str">
        <f t="array" ref="E173">IFERROR(INDEX('計測入力シート（ここのみ編集可）'!$BC$17:$BC$116,MATCH(A165&amp;B165,'計測入力シート（ここのみ編集可）'!$BO$17:$BO$116,0)),"")</f>
        <v/>
      </c>
      <c r="F173" s="305"/>
      <c r="G173" s="306" t="s">
        <v>25</v>
      </c>
      <c r="H173" s="307" t="str">
        <f t="array" ref="H173">IFERROR(INDEX('計測入力シート（ここのみ編集可）'!$BD$17:$BD$116,MATCH(A165&amp;B165,'計測入力シート（ここのみ編集可）'!$BO$17:$BO$116,0)),"")</f>
        <v/>
      </c>
    </row>
    <row r="174" ht="20.25" customHeight="1">
      <c r="D174" s="308"/>
    </row>
    <row r="175" ht="27.0" customHeight="1">
      <c r="A175" s="52" t="str">
        <f>A165</f>
        <v>R</v>
      </c>
      <c r="B175" s="52">
        <f>B165+1</f>
        <v>18</v>
      </c>
      <c r="D175" s="271" t="s">
        <v>80</v>
      </c>
      <c r="E175" s="272" t="s">
        <v>81</v>
      </c>
      <c r="F175" s="272" t="s">
        <v>82</v>
      </c>
      <c r="G175" s="273" t="s">
        <v>49</v>
      </c>
      <c r="H175" s="274"/>
    </row>
    <row r="176" ht="27.0" customHeight="1">
      <c r="A176" s="86"/>
      <c r="B176" s="86"/>
      <c r="D176" s="275" t="str">
        <f t="array" ref="D176">IFERROR(INDEX('計測入力シート（ここのみ編集可）'!$BN$17:$BN$116,MATCH(A175&amp;B175,'計測入力シート（ここのみ編集可）'!$BO$17:$BO$116,0)),"")</f>
        <v/>
      </c>
      <c r="E176" s="276" t="str">
        <f t="array" ref="E176">IFERROR(INDEX('計測入力シート（ここのみ編集可）'!$BP$17:$BP$116,MATCH(A175&amp;B175,'計測入力シート（ここのみ編集可）'!$BO$17:$BO$116,0)),"")</f>
        <v/>
      </c>
      <c r="F176" s="277" t="str">
        <f t="array" ref="F176">IFERROR(INDEX('計測入力シート（ここのみ編集可）'!$BR$17:$BR$116,MATCH(A175&amp;B175,'計測入力シート（ここのみ編集可）'!$BO$17:$BO$116,0)),"")</f>
        <v/>
      </c>
      <c r="G176" s="278" t="str">
        <f t="array" ref="G176">IFERROR(INDEX('計測入力シート（ここのみ編集可）'!$BL$17:$BL$116,MATCH(A175&amp;B175,'計測入力シート（ここのみ編集可）'!$BO$17:$BO$116,0)),"")</f>
        <v/>
      </c>
      <c r="H176" s="279"/>
    </row>
    <row r="177" ht="27.0" customHeight="1">
      <c r="D177" s="280" t="s">
        <v>2</v>
      </c>
      <c r="E177" s="281" t="str">
        <f t="array" ref="E177">IFERROR(INDEX('計測入力シート（ここのみ編集可）'!$C$17:$C$116,MATCH(A175&amp;B175,'計測入力シート（ここのみ編集可）'!$BO$17:$BO$116,0)),"")</f>
        <v/>
      </c>
      <c r="F177" s="282" t="s">
        <v>17</v>
      </c>
      <c r="G177" s="283" t="str">
        <f t="array" ref="G177">IFERROR(INDEX('計測入力シート（ここのみ編集可）'!$D$17:$D$116,MATCH(A175&amp;B175,'計測入力シート（ここのみ編集可）'!$BO$17:$BO$116,0)),"")</f>
        <v/>
      </c>
      <c r="H177" s="284"/>
    </row>
    <row r="178" ht="27.0" customHeight="1">
      <c r="D178" s="285" t="s">
        <v>1</v>
      </c>
      <c r="E178" s="286" t="str">
        <f t="array" ref="E178">IFERROR(INDEX('計測入力シート（ここのみ編集可）'!$B$17:$B$116,MATCH(A175&amp;B175,'計測入力シート（ここのみ編集可）'!$BO$17:$BO$116,0)),"")</f>
        <v/>
      </c>
      <c r="F178" s="287" t="s">
        <v>18</v>
      </c>
      <c r="G178" s="288" t="str">
        <f t="array" ref="G178">IFERROR(INDEX('計測入力シート（ここのみ編集可）'!$E$17:$E$116,MATCH(A175&amp;B175,'計測入力シート（ここのみ編集可）'!$BO$17:$BO$116,0)),"")</f>
        <v/>
      </c>
      <c r="H178" s="289"/>
    </row>
    <row r="179" ht="24.75" customHeight="1">
      <c r="D179" s="290" t="s">
        <v>92</v>
      </c>
      <c r="E179" s="291" t="str">
        <f t="array" ref="E179">IFERROR(INDEX(#REF!,MATCH(A175&amp;B175,'計測入力シート（ここのみ編集可）'!$BO$17:$BO$116,0)),"")</f>
        <v/>
      </c>
      <c r="H179" s="232"/>
    </row>
    <row r="180" ht="52.5" customHeight="1">
      <c r="D180" s="292" t="s">
        <v>100</v>
      </c>
      <c r="E180" s="293" t="str">
        <f t="array" ref="E180">IFERROR(INDEX(#REF!,MATCH(A175&amp;B175,'計測入力シート（ここのみ編集可）'!$BO$17:$BO$116,0)),"")</f>
        <v/>
      </c>
      <c r="F180" s="95"/>
      <c r="G180" s="95"/>
      <c r="H180" s="96"/>
    </row>
    <row r="181" ht="20.25" customHeight="1">
      <c r="D181" s="294" t="s">
        <v>39</v>
      </c>
      <c r="E181" s="295" t="str">
        <f t="array" ref="E181">IFERROR(INDEX('計測入力シート（ここのみ編集可）'!$AW$17:$AW$116,MATCH(A175&amp;B175,'計測入力シート（ここのみ編集可）'!$BO$17:$BO$116,0)),"")</f>
        <v/>
      </c>
      <c r="F181" s="296"/>
      <c r="G181" s="297" t="s">
        <v>110</v>
      </c>
      <c r="H181" s="298" t="str">
        <f t="array" ref="H181">IFERROR(INDEX('計測入力シート（ここのみ編集可）'!$AY$17:$AY$116,MATCH(A175&amp;B175,'計測入力シート（ここのみ編集可）'!$BO$17:$BO$116,0)),"")</f>
        <v/>
      </c>
    </row>
    <row r="182" ht="20.25" customHeight="1">
      <c r="D182" s="299" t="s">
        <v>42</v>
      </c>
      <c r="E182" s="300" t="str">
        <f t="array" ref="E182">IFERROR(INDEX('計測入力シート（ここのみ編集可）'!$AZ$17:$AZ$116,MATCH(A175&amp;B175,'計測入力シート（ここのみ編集可）'!$BO$17:$BO$116,0)),"")</f>
        <v/>
      </c>
      <c r="F182" s="116"/>
      <c r="G182" s="301" t="s">
        <v>111</v>
      </c>
      <c r="H182" s="302" t="str">
        <f t="array" ref="H182">IFERROR(INDEX('計測入力シート（ここのみ編集可）'!$BB$17:$BB$116,MATCH(A175&amp;B175,'計測入力シート（ここのみ編集可）'!$BO$17:$BO$116,0)),"")</f>
        <v/>
      </c>
    </row>
    <row r="183" ht="20.25" customHeight="1">
      <c r="D183" s="303" t="s">
        <v>112</v>
      </c>
      <c r="E183" s="304" t="str">
        <f t="array" ref="E183">IFERROR(INDEX('計測入力シート（ここのみ編集可）'!$BC$17:$BC$116,MATCH(A175&amp;B175,'計測入力シート（ここのみ編集可）'!$BO$17:$BO$116,0)),"")</f>
        <v/>
      </c>
      <c r="F183" s="305"/>
      <c r="G183" s="306" t="s">
        <v>25</v>
      </c>
      <c r="H183" s="307" t="str">
        <f t="array" ref="H183">IFERROR(INDEX('計測入力シート（ここのみ編集可）'!$BD$17:$BD$116,MATCH(A175&amp;B175,'計測入力シート（ここのみ編集可）'!$BO$17:$BO$116,0)),"")</f>
        <v/>
      </c>
    </row>
    <row r="184" ht="20.25" customHeight="1">
      <c r="D184" s="308"/>
    </row>
    <row r="185" ht="27.0" customHeight="1">
      <c r="A185" s="52" t="str">
        <f>A175</f>
        <v>R</v>
      </c>
      <c r="B185" s="52">
        <f>B175+1</f>
        <v>19</v>
      </c>
      <c r="D185" s="271" t="s">
        <v>80</v>
      </c>
      <c r="E185" s="272" t="s">
        <v>81</v>
      </c>
      <c r="F185" s="272" t="s">
        <v>82</v>
      </c>
      <c r="G185" s="273" t="s">
        <v>49</v>
      </c>
      <c r="H185" s="274"/>
    </row>
    <row r="186" ht="27.0" customHeight="1">
      <c r="A186" s="86"/>
      <c r="B186" s="86"/>
      <c r="D186" s="275" t="str">
        <f t="array" ref="D186">IFERROR(INDEX('計測入力シート（ここのみ編集可）'!$BN$17:$BN$116,MATCH(A185&amp;B185,'計測入力シート（ここのみ編集可）'!$BO$17:$BO$116,0)),"")</f>
        <v/>
      </c>
      <c r="E186" s="276" t="str">
        <f t="array" ref="E186">IFERROR(INDEX('計測入力シート（ここのみ編集可）'!$BP$17:$BP$116,MATCH(A185&amp;B185,'計測入力シート（ここのみ編集可）'!$BO$17:$BO$116,0)),"")</f>
        <v/>
      </c>
      <c r="F186" s="277" t="str">
        <f t="array" ref="F186">IFERROR(INDEX('計測入力シート（ここのみ編集可）'!$BR$17:$BR$116,MATCH(A185&amp;B185,'計測入力シート（ここのみ編集可）'!$BO$17:$BO$116,0)),"")</f>
        <v/>
      </c>
      <c r="G186" s="278" t="str">
        <f t="array" ref="G186">IFERROR(INDEX('計測入力シート（ここのみ編集可）'!$BL$17:$BL$116,MATCH(A185&amp;B185,'計測入力シート（ここのみ編集可）'!$BO$17:$BO$116,0)),"")</f>
        <v/>
      </c>
      <c r="H186" s="279"/>
    </row>
    <row r="187" ht="27.0" customHeight="1">
      <c r="D187" s="280" t="s">
        <v>2</v>
      </c>
      <c r="E187" s="281" t="str">
        <f t="array" ref="E187">IFERROR(INDEX('計測入力シート（ここのみ編集可）'!$C$17:$C$116,MATCH(A185&amp;B185,'計測入力シート（ここのみ編集可）'!$BO$17:$BO$116,0)),"")</f>
        <v/>
      </c>
      <c r="F187" s="282" t="s">
        <v>17</v>
      </c>
      <c r="G187" s="283" t="str">
        <f t="array" ref="G187">IFERROR(INDEX('計測入力シート（ここのみ編集可）'!$D$17:$D$116,MATCH(A185&amp;B185,'計測入力シート（ここのみ編集可）'!$BO$17:$BO$116,0)),"")</f>
        <v/>
      </c>
      <c r="H187" s="284"/>
    </row>
    <row r="188" ht="27.0" customHeight="1">
      <c r="D188" s="285" t="s">
        <v>1</v>
      </c>
      <c r="E188" s="286" t="str">
        <f t="array" ref="E188">IFERROR(INDEX('計測入力シート（ここのみ編集可）'!$B$17:$B$116,MATCH(A185&amp;B185,'計測入力シート（ここのみ編集可）'!$BO$17:$BO$116,0)),"")</f>
        <v/>
      </c>
      <c r="F188" s="287" t="s">
        <v>18</v>
      </c>
      <c r="G188" s="288" t="str">
        <f t="array" ref="G188">IFERROR(INDEX('計測入力シート（ここのみ編集可）'!$E$17:$E$116,MATCH(A185&amp;B185,'計測入力シート（ここのみ編集可）'!$BO$17:$BO$116,0)),"")</f>
        <v/>
      </c>
      <c r="H188" s="289"/>
    </row>
    <row r="189" ht="24.75" customHeight="1">
      <c r="D189" s="290" t="s">
        <v>92</v>
      </c>
      <c r="E189" s="291" t="str">
        <f t="array" ref="E189">IFERROR(INDEX(#REF!,MATCH(A185&amp;B185,'計測入力シート（ここのみ編集可）'!$BO$17:$BO$116,0)),"")</f>
        <v/>
      </c>
      <c r="H189" s="232"/>
    </row>
    <row r="190" ht="52.5" customHeight="1">
      <c r="D190" s="292" t="s">
        <v>100</v>
      </c>
      <c r="E190" s="293" t="str">
        <f t="array" ref="E190">IFERROR(INDEX(#REF!,MATCH(A185&amp;B185,'計測入力シート（ここのみ編集可）'!$BO$17:$BO$116,0)),"")</f>
        <v/>
      </c>
      <c r="F190" s="95"/>
      <c r="G190" s="95"/>
      <c r="H190" s="96"/>
    </row>
    <row r="191" ht="20.25" customHeight="1">
      <c r="D191" s="294" t="s">
        <v>39</v>
      </c>
      <c r="E191" s="295" t="str">
        <f t="array" ref="E191">IFERROR(INDEX('計測入力シート（ここのみ編集可）'!$AW$17:$AW$116,MATCH(A185&amp;B185,'計測入力シート（ここのみ編集可）'!$BO$17:$BO$116,0)),"")</f>
        <v/>
      </c>
      <c r="F191" s="296"/>
      <c r="G191" s="297" t="s">
        <v>110</v>
      </c>
      <c r="H191" s="298" t="str">
        <f t="array" ref="H191">IFERROR(INDEX('計測入力シート（ここのみ編集可）'!$AY$17:$AY$116,MATCH(A185&amp;B185,'計測入力シート（ここのみ編集可）'!$BO$17:$BO$116,0)),"")</f>
        <v/>
      </c>
    </row>
    <row r="192" ht="20.25" customHeight="1">
      <c r="D192" s="299" t="s">
        <v>42</v>
      </c>
      <c r="E192" s="300" t="str">
        <f t="array" ref="E192">IFERROR(INDEX('計測入力シート（ここのみ編集可）'!$AZ$17:$AZ$116,MATCH(A185&amp;B185,'計測入力シート（ここのみ編集可）'!$BO$17:$BO$116,0)),"")</f>
        <v/>
      </c>
      <c r="F192" s="116"/>
      <c r="G192" s="301" t="s">
        <v>111</v>
      </c>
      <c r="H192" s="302" t="str">
        <f t="array" ref="H192">IFERROR(INDEX('計測入力シート（ここのみ編集可）'!$BB$17:$BB$116,MATCH(A185&amp;B185,'計測入力シート（ここのみ編集可）'!$BO$17:$BO$116,0)),"")</f>
        <v/>
      </c>
    </row>
    <row r="193" ht="20.25" customHeight="1">
      <c r="D193" s="303" t="s">
        <v>112</v>
      </c>
      <c r="E193" s="304" t="str">
        <f t="array" ref="E193">IFERROR(INDEX('計測入力シート（ここのみ編集可）'!$BC$17:$BC$116,MATCH(A185&amp;B185,'計測入力シート（ここのみ編集可）'!$BO$17:$BO$116,0)),"")</f>
        <v/>
      </c>
      <c r="F193" s="305"/>
      <c r="G193" s="306" t="s">
        <v>25</v>
      </c>
      <c r="H193" s="307" t="str">
        <f t="array" ref="H193">IFERROR(INDEX('計測入力シート（ここのみ編集可）'!$BD$17:$BD$116,MATCH(A185&amp;B185,'計測入力シート（ここのみ編集可）'!$BO$17:$BO$116,0)),"")</f>
        <v/>
      </c>
    </row>
    <row r="194" ht="20.25" customHeight="1">
      <c r="D194" s="308"/>
    </row>
    <row r="195" ht="27.0" customHeight="1">
      <c r="A195" s="52" t="str">
        <f>A185</f>
        <v>R</v>
      </c>
      <c r="B195" s="52">
        <f>B185+1</f>
        <v>20</v>
      </c>
      <c r="D195" s="271" t="s">
        <v>80</v>
      </c>
      <c r="E195" s="272" t="s">
        <v>81</v>
      </c>
      <c r="F195" s="272" t="s">
        <v>82</v>
      </c>
      <c r="G195" s="273" t="s">
        <v>49</v>
      </c>
      <c r="H195" s="274"/>
    </row>
    <row r="196" ht="27.0" customHeight="1">
      <c r="A196" s="86"/>
      <c r="B196" s="86"/>
      <c r="D196" s="275" t="str">
        <f t="array" ref="D196">IFERROR(INDEX('計測入力シート（ここのみ編集可）'!$BN$17:$BN$116,MATCH(A195&amp;B195,'計測入力シート（ここのみ編集可）'!$BO$17:$BO$116,0)),"")</f>
        <v/>
      </c>
      <c r="E196" s="276" t="str">
        <f t="array" ref="E196">IFERROR(INDEX('計測入力シート（ここのみ編集可）'!$BP$17:$BP$116,MATCH(A195&amp;B195,'計測入力シート（ここのみ編集可）'!$BO$17:$BO$116,0)),"")</f>
        <v/>
      </c>
      <c r="F196" s="277" t="str">
        <f t="array" ref="F196">IFERROR(INDEX('計測入力シート（ここのみ編集可）'!$BR$17:$BR$116,MATCH(A195&amp;B195,'計測入力シート（ここのみ編集可）'!$BO$17:$BO$116,0)),"")</f>
        <v/>
      </c>
      <c r="G196" s="278" t="str">
        <f t="array" ref="G196">IFERROR(INDEX('計測入力シート（ここのみ編集可）'!$BL$17:$BL$116,MATCH(A195&amp;B195,'計測入力シート（ここのみ編集可）'!$BO$17:$BO$116,0)),"")</f>
        <v/>
      </c>
      <c r="H196" s="279"/>
    </row>
    <row r="197" ht="27.0" customHeight="1">
      <c r="D197" s="280" t="s">
        <v>2</v>
      </c>
      <c r="E197" s="281" t="str">
        <f t="array" ref="E197">IFERROR(INDEX('計測入力シート（ここのみ編集可）'!$C$17:$C$116,MATCH(A195&amp;B195,'計測入力シート（ここのみ編集可）'!$BO$17:$BO$116,0)),"")</f>
        <v/>
      </c>
      <c r="F197" s="282" t="s">
        <v>17</v>
      </c>
      <c r="G197" s="283" t="str">
        <f t="array" ref="G197">IFERROR(INDEX('計測入力シート（ここのみ編集可）'!$D$17:$D$116,MATCH(A195&amp;B195,'計測入力シート（ここのみ編集可）'!$BO$17:$BO$116,0)),"")</f>
        <v/>
      </c>
      <c r="H197" s="284"/>
    </row>
    <row r="198" ht="27.0" customHeight="1">
      <c r="D198" s="285" t="s">
        <v>1</v>
      </c>
      <c r="E198" s="286" t="str">
        <f t="array" ref="E198">IFERROR(INDEX('計測入力シート（ここのみ編集可）'!$B$17:$B$116,MATCH(A195&amp;B195,'計測入力シート（ここのみ編集可）'!$BO$17:$BO$116,0)),"")</f>
        <v/>
      </c>
      <c r="F198" s="287" t="s">
        <v>18</v>
      </c>
      <c r="G198" s="288" t="str">
        <f t="array" ref="G198">IFERROR(INDEX('計測入力シート（ここのみ編集可）'!$E$17:$E$116,MATCH(A195&amp;B195,'計測入力シート（ここのみ編集可）'!$BO$17:$BO$116,0)),"")</f>
        <v/>
      </c>
      <c r="H198" s="289"/>
    </row>
    <row r="199" ht="24.75" customHeight="1">
      <c r="D199" s="290" t="s">
        <v>92</v>
      </c>
      <c r="E199" s="291" t="str">
        <f t="array" ref="E199">IFERROR(INDEX(#REF!,MATCH(A195&amp;B195,'計測入力シート（ここのみ編集可）'!$BO$17:$BO$116,0)),"")</f>
        <v/>
      </c>
      <c r="H199" s="232"/>
    </row>
    <row r="200" ht="52.5" customHeight="1">
      <c r="D200" s="292" t="s">
        <v>100</v>
      </c>
      <c r="E200" s="293" t="str">
        <f t="array" ref="E200">IFERROR(INDEX(#REF!,MATCH(A195&amp;B195,'計測入力シート（ここのみ編集可）'!$BO$17:$BO$116,0)),"")</f>
        <v/>
      </c>
      <c r="F200" s="95"/>
      <c r="G200" s="95"/>
      <c r="H200" s="96"/>
    </row>
    <row r="201" ht="20.25" customHeight="1">
      <c r="D201" s="294" t="s">
        <v>39</v>
      </c>
      <c r="E201" s="295" t="str">
        <f t="array" ref="E201">IFERROR(INDEX('計測入力シート（ここのみ編集可）'!$AW$17:$AW$116,MATCH(A195&amp;B195,'計測入力シート（ここのみ編集可）'!$BO$17:$BO$116,0)),"")</f>
        <v/>
      </c>
      <c r="F201" s="296"/>
      <c r="G201" s="297" t="s">
        <v>110</v>
      </c>
      <c r="H201" s="298" t="str">
        <f t="array" ref="H201">IFERROR(INDEX('計測入力シート（ここのみ編集可）'!$AY$17:$AY$116,MATCH(A195&amp;B195,'計測入力シート（ここのみ編集可）'!$BO$17:$BO$116,0)),"")</f>
        <v/>
      </c>
    </row>
    <row r="202" ht="20.25" customHeight="1">
      <c r="D202" s="299" t="s">
        <v>42</v>
      </c>
      <c r="E202" s="300" t="str">
        <f t="array" ref="E202">IFERROR(INDEX('計測入力シート（ここのみ編集可）'!$AZ$17:$AZ$116,MATCH(A195&amp;B195,'計測入力シート（ここのみ編集可）'!$BO$17:$BO$116,0)),"")</f>
        <v/>
      </c>
      <c r="F202" s="116"/>
      <c r="G202" s="301" t="s">
        <v>111</v>
      </c>
      <c r="H202" s="302" t="str">
        <f t="array" ref="H202">IFERROR(INDEX('計測入力シート（ここのみ編集可）'!$BB$17:$BB$116,MATCH(A195&amp;B195,'計測入力シート（ここのみ編集可）'!$BO$17:$BO$116,0)),"")</f>
        <v/>
      </c>
    </row>
    <row r="203" ht="20.25" customHeight="1">
      <c r="D203" s="303" t="s">
        <v>112</v>
      </c>
      <c r="E203" s="304" t="str">
        <f t="array" ref="E203">IFERROR(INDEX('計測入力シート（ここのみ編集可）'!$BC$17:$BC$116,MATCH(A195&amp;B195,'計測入力シート（ここのみ編集可）'!$BO$17:$BO$116,0)),"")</f>
        <v/>
      </c>
      <c r="F203" s="305"/>
      <c r="G203" s="306" t="s">
        <v>25</v>
      </c>
      <c r="H203" s="307" t="str">
        <f t="array" ref="H203">IFERROR(INDEX('計測入力シート（ここのみ編集可）'!$BD$17:$BD$116,MATCH(A195&amp;B195,'計測入力シート（ここのみ編集可）'!$BO$17:$BO$116,0)),"")</f>
        <v/>
      </c>
    </row>
    <row r="204" ht="20.25" customHeight="1">
      <c r="D204" s="308"/>
    </row>
    <row r="205" ht="27.0" customHeight="1">
      <c r="A205" s="52" t="str">
        <f>A195</f>
        <v>R</v>
      </c>
      <c r="B205" s="52">
        <f>B195+1</f>
        <v>21</v>
      </c>
      <c r="D205" s="271" t="s">
        <v>80</v>
      </c>
      <c r="E205" s="272" t="s">
        <v>81</v>
      </c>
      <c r="F205" s="272" t="s">
        <v>82</v>
      </c>
      <c r="G205" s="273" t="s">
        <v>49</v>
      </c>
      <c r="H205" s="274"/>
    </row>
    <row r="206" ht="27.0" customHeight="1">
      <c r="A206" s="86"/>
      <c r="B206" s="86"/>
      <c r="D206" s="275" t="str">
        <f t="array" ref="D206">IFERROR(INDEX('計測入力シート（ここのみ編集可）'!$BN$17:$BN$116,MATCH(A205&amp;B205,'計測入力シート（ここのみ編集可）'!$BO$17:$BO$116,0)),"")</f>
        <v/>
      </c>
      <c r="E206" s="276" t="str">
        <f t="array" ref="E206">IFERROR(INDEX('計測入力シート（ここのみ編集可）'!$BP$17:$BP$116,MATCH(A205&amp;B205,'計測入力シート（ここのみ編集可）'!$BO$17:$BO$116,0)),"")</f>
        <v/>
      </c>
      <c r="F206" s="277" t="str">
        <f t="array" ref="F206">IFERROR(INDEX('計測入力シート（ここのみ編集可）'!$BR$17:$BR$116,MATCH(A205&amp;B205,'計測入力シート（ここのみ編集可）'!$BO$17:$BO$116,0)),"")</f>
        <v/>
      </c>
      <c r="G206" s="278" t="str">
        <f t="array" ref="G206">IFERROR(INDEX('計測入力シート（ここのみ編集可）'!$BL$17:$BL$116,MATCH(A205&amp;B205,'計測入力シート（ここのみ編集可）'!$BO$17:$BO$116,0)),"")</f>
        <v/>
      </c>
      <c r="H206" s="279"/>
    </row>
    <row r="207" ht="27.0" customHeight="1">
      <c r="D207" s="280" t="s">
        <v>2</v>
      </c>
      <c r="E207" s="281" t="str">
        <f t="array" ref="E207">IFERROR(INDEX('計測入力シート（ここのみ編集可）'!$C$17:$C$116,MATCH(A205&amp;B205,'計測入力シート（ここのみ編集可）'!$BO$17:$BO$116,0)),"")</f>
        <v/>
      </c>
      <c r="F207" s="282" t="s">
        <v>17</v>
      </c>
      <c r="G207" s="283" t="str">
        <f t="array" ref="G207">IFERROR(INDEX('計測入力シート（ここのみ編集可）'!$D$17:$D$116,MATCH(A205&amp;B205,'計測入力シート（ここのみ編集可）'!$BO$17:$BO$116,0)),"")</f>
        <v/>
      </c>
      <c r="H207" s="284"/>
    </row>
    <row r="208" ht="27.0" customHeight="1">
      <c r="D208" s="285" t="s">
        <v>1</v>
      </c>
      <c r="E208" s="286" t="str">
        <f t="array" ref="E208">IFERROR(INDEX('計測入力シート（ここのみ編集可）'!$B$17:$B$116,MATCH(A205&amp;B205,'計測入力シート（ここのみ編集可）'!$BO$17:$BO$116,0)),"")</f>
        <v/>
      </c>
      <c r="F208" s="287" t="s">
        <v>18</v>
      </c>
      <c r="G208" s="288" t="str">
        <f t="array" ref="G208">IFERROR(INDEX('計測入力シート（ここのみ編集可）'!$E$17:$E$116,MATCH(A205&amp;B205,'計測入力シート（ここのみ編集可）'!$BO$17:$BO$116,0)),"")</f>
        <v/>
      </c>
      <c r="H208" s="289"/>
    </row>
    <row r="209" ht="24.75" customHeight="1">
      <c r="D209" s="290" t="s">
        <v>92</v>
      </c>
      <c r="E209" s="291" t="str">
        <f t="array" ref="E209">IFERROR(INDEX(#REF!,MATCH(A205&amp;B205,'計測入力シート（ここのみ編集可）'!$BO$17:$BO$116,0)),"")</f>
        <v/>
      </c>
      <c r="H209" s="232"/>
    </row>
    <row r="210" ht="52.5" customHeight="1">
      <c r="D210" s="292" t="s">
        <v>100</v>
      </c>
      <c r="E210" s="293" t="str">
        <f t="array" ref="E210">IFERROR(INDEX(#REF!,MATCH(A205&amp;B205,'計測入力シート（ここのみ編集可）'!$BO$17:$BO$116,0)),"")</f>
        <v/>
      </c>
      <c r="F210" s="95"/>
      <c r="G210" s="95"/>
      <c r="H210" s="96"/>
    </row>
    <row r="211" ht="20.25" customHeight="1">
      <c r="D211" s="294" t="s">
        <v>39</v>
      </c>
      <c r="E211" s="295" t="str">
        <f t="array" ref="E211">IFERROR(INDEX('計測入力シート（ここのみ編集可）'!$AW$17:$AW$116,MATCH(A205&amp;B205,'計測入力シート（ここのみ編集可）'!$BO$17:$BO$116,0)),"")</f>
        <v/>
      </c>
      <c r="F211" s="296"/>
      <c r="G211" s="297" t="s">
        <v>110</v>
      </c>
      <c r="H211" s="298" t="str">
        <f t="array" ref="H211">IFERROR(INDEX('計測入力シート（ここのみ編集可）'!$AY$17:$AY$116,MATCH(A205&amp;B205,'計測入力シート（ここのみ編集可）'!$BO$17:$BO$116,0)),"")</f>
        <v/>
      </c>
    </row>
    <row r="212" ht="20.25" customHeight="1">
      <c r="D212" s="299" t="s">
        <v>42</v>
      </c>
      <c r="E212" s="300" t="str">
        <f t="array" ref="E212">IFERROR(INDEX('計測入力シート（ここのみ編集可）'!$AZ$17:$AZ$116,MATCH(A205&amp;B205,'計測入力シート（ここのみ編集可）'!$BO$17:$BO$116,0)),"")</f>
        <v/>
      </c>
      <c r="F212" s="116"/>
      <c r="G212" s="301" t="s">
        <v>111</v>
      </c>
      <c r="H212" s="302" t="str">
        <f t="array" ref="H212">IFERROR(INDEX('計測入力シート（ここのみ編集可）'!$BB$17:$BB$116,MATCH(A205&amp;B205,'計測入力シート（ここのみ編集可）'!$BO$17:$BO$116,0)),"")</f>
        <v/>
      </c>
    </row>
    <row r="213" ht="20.25" customHeight="1">
      <c r="D213" s="303" t="s">
        <v>112</v>
      </c>
      <c r="E213" s="304" t="str">
        <f t="array" ref="E213">IFERROR(INDEX('計測入力シート（ここのみ編集可）'!$BC$17:$BC$116,MATCH(A205&amp;B205,'計測入力シート（ここのみ編集可）'!$BO$17:$BO$116,0)),"")</f>
        <v/>
      </c>
      <c r="F213" s="305"/>
      <c r="G213" s="306" t="s">
        <v>25</v>
      </c>
      <c r="H213" s="307" t="str">
        <f t="array" ref="H213">IFERROR(INDEX('計測入力シート（ここのみ編集可）'!$BD$17:$BD$116,MATCH(A205&amp;B205,'計測入力シート（ここのみ編集可）'!$BO$17:$BO$116,0)),"")</f>
        <v/>
      </c>
    </row>
    <row r="214" ht="20.25" customHeight="1">
      <c r="D214" s="308"/>
    </row>
    <row r="215" ht="27.0" customHeight="1">
      <c r="A215" s="52" t="str">
        <f>A205</f>
        <v>R</v>
      </c>
      <c r="B215" s="52">
        <f>B205+1</f>
        <v>22</v>
      </c>
      <c r="D215" s="271" t="s">
        <v>80</v>
      </c>
      <c r="E215" s="272" t="s">
        <v>81</v>
      </c>
      <c r="F215" s="272" t="s">
        <v>82</v>
      </c>
      <c r="G215" s="273" t="s">
        <v>49</v>
      </c>
      <c r="H215" s="274"/>
    </row>
    <row r="216" ht="27.0" customHeight="1">
      <c r="A216" s="86"/>
      <c r="B216" s="86"/>
      <c r="D216" s="275" t="str">
        <f t="array" ref="D216">IFERROR(INDEX('計測入力シート（ここのみ編集可）'!$BN$17:$BN$116,MATCH(A215&amp;B215,'計測入力シート（ここのみ編集可）'!$BO$17:$BO$116,0)),"")</f>
        <v/>
      </c>
      <c r="E216" s="276" t="str">
        <f t="array" ref="E216">IFERROR(INDEX('計測入力シート（ここのみ編集可）'!$BP$17:$BP$116,MATCH(A215&amp;B215,'計測入力シート（ここのみ編集可）'!$BO$17:$BO$116,0)),"")</f>
        <v/>
      </c>
      <c r="F216" s="277" t="str">
        <f t="array" ref="F216">IFERROR(INDEX('計測入力シート（ここのみ編集可）'!$BR$17:$BR$116,MATCH(A215&amp;B215,'計測入力シート（ここのみ編集可）'!$BO$17:$BO$116,0)),"")</f>
        <v/>
      </c>
      <c r="G216" s="278" t="str">
        <f t="array" ref="G216">IFERROR(INDEX('計測入力シート（ここのみ編集可）'!$BL$17:$BL$116,MATCH(A215&amp;B215,'計測入力シート（ここのみ編集可）'!$BO$17:$BO$116,0)),"")</f>
        <v/>
      </c>
      <c r="H216" s="279"/>
    </row>
    <row r="217" ht="27.0" customHeight="1">
      <c r="D217" s="280" t="s">
        <v>2</v>
      </c>
      <c r="E217" s="281" t="str">
        <f t="array" ref="E217">IFERROR(INDEX('計測入力シート（ここのみ編集可）'!$C$17:$C$116,MATCH(A215&amp;B215,'計測入力シート（ここのみ編集可）'!$BO$17:$BO$116,0)),"")</f>
        <v/>
      </c>
      <c r="F217" s="282" t="s">
        <v>17</v>
      </c>
      <c r="G217" s="283" t="str">
        <f t="array" ref="G217">IFERROR(INDEX('計測入力シート（ここのみ編集可）'!$D$17:$D$116,MATCH(A215&amp;B215,'計測入力シート（ここのみ編集可）'!$BO$17:$BO$116,0)),"")</f>
        <v/>
      </c>
      <c r="H217" s="284"/>
    </row>
    <row r="218" ht="27.0" customHeight="1">
      <c r="D218" s="285" t="s">
        <v>1</v>
      </c>
      <c r="E218" s="286" t="str">
        <f t="array" ref="E218">IFERROR(INDEX('計測入力シート（ここのみ編集可）'!$B$17:$B$116,MATCH(A215&amp;B215,'計測入力シート（ここのみ編集可）'!$BO$17:$BO$116,0)),"")</f>
        <v/>
      </c>
      <c r="F218" s="287" t="s">
        <v>18</v>
      </c>
      <c r="G218" s="288" t="str">
        <f t="array" ref="G218">IFERROR(INDEX('計測入力シート（ここのみ編集可）'!$E$17:$E$116,MATCH(A215&amp;B215,'計測入力シート（ここのみ編集可）'!$BO$17:$BO$116,0)),"")</f>
        <v/>
      </c>
      <c r="H218" s="289"/>
    </row>
    <row r="219" ht="24.75" customHeight="1">
      <c r="D219" s="290" t="s">
        <v>92</v>
      </c>
      <c r="E219" s="291" t="str">
        <f t="array" ref="E219">IFERROR(INDEX(#REF!,MATCH(A215&amp;B215,'計測入力シート（ここのみ編集可）'!$BO$17:$BO$116,0)),"")</f>
        <v/>
      </c>
      <c r="H219" s="232"/>
    </row>
    <row r="220" ht="52.5" customHeight="1">
      <c r="D220" s="292" t="s">
        <v>100</v>
      </c>
      <c r="E220" s="293" t="str">
        <f t="array" ref="E220">IFERROR(INDEX(#REF!,MATCH(A215&amp;B215,'計測入力シート（ここのみ編集可）'!$BO$17:$BO$116,0)),"")</f>
        <v/>
      </c>
      <c r="F220" s="95"/>
      <c r="G220" s="95"/>
      <c r="H220" s="96"/>
    </row>
    <row r="221" ht="20.25" customHeight="1">
      <c r="D221" s="294" t="s">
        <v>39</v>
      </c>
      <c r="E221" s="295" t="str">
        <f t="array" ref="E221">IFERROR(INDEX('計測入力シート（ここのみ編集可）'!$AW$17:$AW$116,MATCH(A215&amp;B215,'計測入力シート（ここのみ編集可）'!$BO$17:$BO$116,0)),"")</f>
        <v/>
      </c>
      <c r="F221" s="296"/>
      <c r="G221" s="297" t="s">
        <v>110</v>
      </c>
      <c r="H221" s="298" t="str">
        <f t="array" ref="H221">IFERROR(INDEX('計測入力シート（ここのみ編集可）'!$AY$17:$AY$116,MATCH(A215&amp;B215,'計測入力シート（ここのみ編集可）'!$BO$17:$BO$116,0)),"")</f>
        <v/>
      </c>
    </row>
    <row r="222" ht="20.25" customHeight="1">
      <c r="D222" s="299" t="s">
        <v>42</v>
      </c>
      <c r="E222" s="300" t="str">
        <f t="array" ref="E222">IFERROR(INDEX('計測入力シート（ここのみ編集可）'!$AZ$17:$AZ$116,MATCH(A215&amp;B215,'計測入力シート（ここのみ編集可）'!$BO$17:$BO$116,0)),"")</f>
        <v/>
      </c>
      <c r="F222" s="116"/>
      <c r="G222" s="301" t="s">
        <v>111</v>
      </c>
      <c r="H222" s="302" t="str">
        <f t="array" ref="H222">IFERROR(INDEX('計測入力シート（ここのみ編集可）'!$BB$17:$BB$116,MATCH(A215&amp;B215,'計測入力シート（ここのみ編集可）'!$BO$17:$BO$116,0)),"")</f>
        <v/>
      </c>
    </row>
    <row r="223" ht="20.25" customHeight="1">
      <c r="D223" s="303" t="s">
        <v>112</v>
      </c>
      <c r="E223" s="304" t="str">
        <f t="array" ref="E223">IFERROR(INDEX('計測入力シート（ここのみ編集可）'!$BC$17:$BC$116,MATCH(A215&amp;B215,'計測入力シート（ここのみ編集可）'!$BO$17:$BO$116,0)),"")</f>
        <v/>
      </c>
      <c r="F223" s="305"/>
      <c r="G223" s="306" t="s">
        <v>25</v>
      </c>
      <c r="H223" s="307" t="str">
        <f t="array" ref="H223">IFERROR(INDEX('計測入力シート（ここのみ編集可）'!$BD$17:$BD$116,MATCH(A215&amp;B215,'計測入力シート（ここのみ編集可）'!$BO$17:$BO$116,0)),"")</f>
        <v/>
      </c>
    </row>
    <row r="224" ht="20.25" customHeight="1">
      <c r="D224" s="308"/>
    </row>
    <row r="225" ht="27.0" customHeight="1">
      <c r="A225" s="52" t="str">
        <f>A215</f>
        <v>R</v>
      </c>
      <c r="B225" s="52">
        <f>B215+1</f>
        <v>23</v>
      </c>
      <c r="D225" s="271" t="s">
        <v>80</v>
      </c>
      <c r="E225" s="272" t="s">
        <v>81</v>
      </c>
      <c r="F225" s="272" t="s">
        <v>82</v>
      </c>
      <c r="G225" s="273" t="s">
        <v>49</v>
      </c>
      <c r="H225" s="274"/>
    </row>
    <row r="226" ht="27.0" customHeight="1">
      <c r="A226" s="86"/>
      <c r="B226" s="86"/>
      <c r="D226" s="275" t="str">
        <f t="array" ref="D226">IFERROR(INDEX('計測入力シート（ここのみ編集可）'!$BN$17:$BN$116,MATCH(A225&amp;B225,'計測入力シート（ここのみ編集可）'!$BO$17:$BO$116,0)),"")</f>
        <v/>
      </c>
      <c r="E226" s="276" t="str">
        <f t="array" ref="E226">IFERROR(INDEX('計測入力シート（ここのみ編集可）'!$BP$17:$BP$116,MATCH(A225&amp;B225,'計測入力シート（ここのみ編集可）'!$BO$17:$BO$116,0)),"")</f>
        <v/>
      </c>
      <c r="F226" s="277" t="str">
        <f t="array" ref="F226">IFERROR(INDEX('計測入力シート（ここのみ編集可）'!$BR$17:$BR$116,MATCH(A225&amp;B225,'計測入力シート（ここのみ編集可）'!$BO$17:$BO$116,0)),"")</f>
        <v/>
      </c>
      <c r="G226" s="278" t="str">
        <f t="array" ref="G226">IFERROR(INDEX('計測入力シート（ここのみ編集可）'!$BL$17:$BL$116,MATCH(A225&amp;B225,'計測入力シート（ここのみ編集可）'!$BO$17:$BO$116,0)),"")</f>
        <v/>
      </c>
      <c r="H226" s="279"/>
    </row>
    <row r="227" ht="27.0" customHeight="1">
      <c r="D227" s="280" t="s">
        <v>2</v>
      </c>
      <c r="E227" s="281" t="str">
        <f t="array" ref="E227">IFERROR(INDEX('計測入力シート（ここのみ編集可）'!$C$17:$C$116,MATCH(A225&amp;B225,'計測入力シート（ここのみ編集可）'!$BO$17:$BO$116,0)),"")</f>
        <v/>
      </c>
      <c r="F227" s="282" t="s">
        <v>17</v>
      </c>
      <c r="G227" s="283" t="str">
        <f t="array" ref="G227">IFERROR(INDEX('計測入力シート（ここのみ編集可）'!$D$17:$D$116,MATCH(A225&amp;B225,'計測入力シート（ここのみ編集可）'!$BO$17:$BO$116,0)),"")</f>
        <v/>
      </c>
      <c r="H227" s="284"/>
    </row>
    <row r="228" ht="27.0" customHeight="1">
      <c r="D228" s="285" t="s">
        <v>1</v>
      </c>
      <c r="E228" s="286" t="str">
        <f t="array" ref="E228">IFERROR(INDEX('計測入力シート（ここのみ編集可）'!$B$17:$B$116,MATCH(A225&amp;B225,'計測入力シート（ここのみ編集可）'!$BO$17:$BO$116,0)),"")</f>
        <v/>
      </c>
      <c r="F228" s="287" t="s">
        <v>18</v>
      </c>
      <c r="G228" s="288" t="str">
        <f t="array" ref="G228">IFERROR(INDEX('計測入力シート（ここのみ編集可）'!$E$17:$E$116,MATCH(A225&amp;B225,'計測入力シート（ここのみ編集可）'!$BO$17:$BO$116,0)),"")</f>
        <v/>
      </c>
      <c r="H228" s="289"/>
    </row>
    <row r="229" ht="24.75" customHeight="1">
      <c r="D229" s="290" t="s">
        <v>92</v>
      </c>
      <c r="E229" s="291" t="str">
        <f t="array" ref="E229">IFERROR(INDEX(#REF!,MATCH(A225&amp;B225,'計測入力シート（ここのみ編集可）'!$BO$17:$BO$116,0)),"")</f>
        <v/>
      </c>
      <c r="H229" s="232"/>
    </row>
    <row r="230" ht="52.5" customHeight="1">
      <c r="D230" s="292" t="s">
        <v>100</v>
      </c>
      <c r="E230" s="293" t="str">
        <f t="array" ref="E230">IFERROR(INDEX(#REF!,MATCH(A225&amp;B225,'計測入力シート（ここのみ編集可）'!$BO$17:$BO$116,0)),"")</f>
        <v/>
      </c>
      <c r="F230" s="95"/>
      <c r="G230" s="95"/>
      <c r="H230" s="96"/>
    </row>
    <row r="231" ht="20.25" customHeight="1">
      <c r="D231" s="294" t="s">
        <v>39</v>
      </c>
      <c r="E231" s="295" t="str">
        <f t="array" ref="E231">IFERROR(INDEX('計測入力シート（ここのみ編集可）'!$AW$17:$AW$116,MATCH(A225&amp;B225,'計測入力シート（ここのみ編集可）'!$BO$17:$BO$116,0)),"")</f>
        <v/>
      </c>
      <c r="F231" s="296"/>
      <c r="G231" s="297" t="s">
        <v>110</v>
      </c>
      <c r="H231" s="298" t="str">
        <f t="array" ref="H231">IFERROR(INDEX('計測入力シート（ここのみ編集可）'!$AY$17:$AY$116,MATCH(A225&amp;B225,'計測入力シート（ここのみ編集可）'!$BO$17:$BO$116,0)),"")</f>
        <v/>
      </c>
    </row>
    <row r="232" ht="20.25" customHeight="1">
      <c r="D232" s="299" t="s">
        <v>42</v>
      </c>
      <c r="E232" s="300" t="str">
        <f t="array" ref="E232">IFERROR(INDEX('計測入力シート（ここのみ編集可）'!$AZ$17:$AZ$116,MATCH(A225&amp;B225,'計測入力シート（ここのみ編集可）'!$BO$17:$BO$116,0)),"")</f>
        <v/>
      </c>
      <c r="F232" s="116"/>
      <c r="G232" s="301" t="s">
        <v>111</v>
      </c>
      <c r="H232" s="302" t="str">
        <f t="array" ref="H232">IFERROR(INDEX('計測入力シート（ここのみ編集可）'!$BB$17:$BB$116,MATCH(A225&amp;B225,'計測入力シート（ここのみ編集可）'!$BO$17:$BO$116,0)),"")</f>
        <v/>
      </c>
    </row>
    <row r="233" ht="20.25" customHeight="1">
      <c r="D233" s="303" t="s">
        <v>112</v>
      </c>
      <c r="E233" s="304" t="str">
        <f t="array" ref="E233">IFERROR(INDEX('計測入力シート（ここのみ編集可）'!$BC$17:$BC$116,MATCH(A225&amp;B225,'計測入力シート（ここのみ編集可）'!$BO$17:$BO$116,0)),"")</f>
        <v/>
      </c>
      <c r="F233" s="305"/>
      <c r="G233" s="306" t="s">
        <v>25</v>
      </c>
      <c r="H233" s="307" t="str">
        <f t="array" ref="H233">IFERROR(INDEX('計測入力シート（ここのみ編集可）'!$BD$17:$BD$116,MATCH(A225&amp;B225,'計測入力シート（ここのみ編集可）'!$BO$17:$BO$116,0)),"")</f>
        <v/>
      </c>
    </row>
    <row r="234" ht="20.25" customHeight="1">
      <c r="D234" s="308"/>
    </row>
    <row r="235" ht="27.0" customHeight="1">
      <c r="A235" s="52" t="str">
        <f>A225</f>
        <v>R</v>
      </c>
      <c r="B235" s="52">
        <f>B225+1</f>
        <v>24</v>
      </c>
      <c r="D235" s="271" t="s">
        <v>80</v>
      </c>
      <c r="E235" s="272" t="s">
        <v>81</v>
      </c>
      <c r="F235" s="272" t="s">
        <v>82</v>
      </c>
      <c r="G235" s="273" t="s">
        <v>49</v>
      </c>
      <c r="H235" s="274"/>
    </row>
    <row r="236" ht="27.0" customHeight="1">
      <c r="A236" s="86"/>
      <c r="B236" s="86"/>
      <c r="D236" s="275" t="str">
        <f t="array" ref="D236">IFERROR(INDEX('計測入力シート（ここのみ編集可）'!$BN$17:$BN$116,MATCH(A235&amp;B235,'計測入力シート（ここのみ編集可）'!$BO$17:$BO$116,0)),"")</f>
        <v/>
      </c>
      <c r="E236" s="276" t="str">
        <f t="array" ref="E236">IFERROR(INDEX('計測入力シート（ここのみ編集可）'!$BP$17:$BP$116,MATCH(A235&amp;B235,'計測入力シート（ここのみ編集可）'!$BO$17:$BO$116,0)),"")</f>
        <v/>
      </c>
      <c r="F236" s="277" t="str">
        <f t="array" ref="F236">IFERROR(INDEX('計測入力シート（ここのみ編集可）'!$BR$17:$BR$116,MATCH(A235&amp;B235,'計測入力シート（ここのみ編集可）'!$BO$17:$BO$116,0)),"")</f>
        <v/>
      </c>
      <c r="G236" s="278" t="str">
        <f t="array" ref="G236">IFERROR(INDEX('計測入力シート（ここのみ編集可）'!$BL$17:$BL$116,MATCH(A235&amp;B235,'計測入力シート（ここのみ編集可）'!$BO$17:$BO$116,0)),"")</f>
        <v/>
      </c>
      <c r="H236" s="279"/>
    </row>
    <row r="237" ht="27.0" customHeight="1">
      <c r="D237" s="280" t="s">
        <v>2</v>
      </c>
      <c r="E237" s="281" t="str">
        <f t="array" ref="E237">IFERROR(INDEX('計測入力シート（ここのみ編集可）'!$C$17:$C$116,MATCH(A235&amp;B235,'計測入力シート（ここのみ編集可）'!$BO$17:$BO$116,0)),"")</f>
        <v/>
      </c>
      <c r="F237" s="282" t="s">
        <v>17</v>
      </c>
      <c r="G237" s="283" t="str">
        <f t="array" ref="G237">IFERROR(INDEX('計測入力シート（ここのみ編集可）'!$D$17:$D$116,MATCH(A235&amp;B235,'計測入力シート（ここのみ編集可）'!$BO$17:$BO$116,0)),"")</f>
        <v/>
      </c>
      <c r="H237" s="284"/>
    </row>
    <row r="238" ht="27.0" customHeight="1">
      <c r="D238" s="285" t="s">
        <v>1</v>
      </c>
      <c r="E238" s="286" t="str">
        <f t="array" ref="E238">IFERROR(INDEX('計測入力シート（ここのみ編集可）'!$B$17:$B$116,MATCH(A235&amp;B235,'計測入力シート（ここのみ編集可）'!$BO$17:$BO$116,0)),"")</f>
        <v/>
      </c>
      <c r="F238" s="287" t="s">
        <v>18</v>
      </c>
      <c r="G238" s="288" t="str">
        <f t="array" ref="G238">IFERROR(INDEX('計測入力シート（ここのみ編集可）'!$E$17:$E$116,MATCH(A235&amp;B235,'計測入力シート（ここのみ編集可）'!$BO$17:$BO$116,0)),"")</f>
        <v/>
      </c>
      <c r="H238" s="289"/>
    </row>
    <row r="239" ht="24.75" customHeight="1">
      <c r="D239" s="290" t="s">
        <v>92</v>
      </c>
      <c r="E239" s="291" t="str">
        <f t="array" ref="E239">IFERROR(INDEX(#REF!,MATCH(A235&amp;B235,'計測入力シート（ここのみ編集可）'!$BO$17:$BO$116,0)),"")</f>
        <v/>
      </c>
      <c r="H239" s="232"/>
    </row>
    <row r="240" ht="52.5" customHeight="1">
      <c r="D240" s="292" t="s">
        <v>100</v>
      </c>
      <c r="E240" s="293" t="str">
        <f t="array" ref="E240">IFERROR(INDEX(#REF!,MATCH(A235&amp;B235,'計測入力シート（ここのみ編集可）'!$BO$17:$BO$116,0)),"")</f>
        <v/>
      </c>
      <c r="F240" s="95"/>
      <c r="G240" s="95"/>
      <c r="H240" s="96"/>
    </row>
    <row r="241" ht="20.25" customHeight="1">
      <c r="D241" s="294" t="s">
        <v>39</v>
      </c>
      <c r="E241" s="295" t="str">
        <f t="array" ref="E241">IFERROR(INDEX('計測入力シート（ここのみ編集可）'!$AW$17:$AW$116,MATCH(A235&amp;B235,'計測入力シート（ここのみ編集可）'!$BO$17:$BO$116,0)),"")</f>
        <v/>
      </c>
      <c r="F241" s="296"/>
      <c r="G241" s="297" t="s">
        <v>110</v>
      </c>
      <c r="H241" s="298" t="str">
        <f t="array" ref="H241">IFERROR(INDEX('計測入力シート（ここのみ編集可）'!$AY$17:$AY$116,MATCH(A235&amp;B235,'計測入力シート（ここのみ編集可）'!$BO$17:$BO$116,0)),"")</f>
        <v/>
      </c>
    </row>
    <row r="242" ht="20.25" customHeight="1">
      <c r="D242" s="299" t="s">
        <v>42</v>
      </c>
      <c r="E242" s="300" t="str">
        <f t="array" ref="E242">IFERROR(INDEX('計測入力シート（ここのみ編集可）'!$AZ$17:$AZ$116,MATCH(A235&amp;B235,'計測入力シート（ここのみ編集可）'!$BO$17:$BO$116,0)),"")</f>
        <v/>
      </c>
      <c r="F242" s="116"/>
      <c r="G242" s="301" t="s">
        <v>111</v>
      </c>
      <c r="H242" s="302" t="str">
        <f t="array" ref="H242">IFERROR(INDEX('計測入力シート（ここのみ編集可）'!$BB$17:$BB$116,MATCH(A235&amp;B235,'計測入力シート（ここのみ編集可）'!$BO$17:$BO$116,0)),"")</f>
        <v/>
      </c>
    </row>
    <row r="243" ht="20.25" customHeight="1">
      <c r="D243" s="303" t="s">
        <v>112</v>
      </c>
      <c r="E243" s="304" t="str">
        <f t="array" ref="E243">IFERROR(INDEX('計測入力シート（ここのみ編集可）'!$BC$17:$BC$116,MATCH(A235&amp;B235,'計測入力シート（ここのみ編集可）'!$BO$17:$BO$116,0)),"")</f>
        <v/>
      </c>
      <c r="F243" s="305"/>
      <c r="G243" s="306" t="s">
        <v>25</v>
      </c>
      <c r="H243" s="307" t="str">
        <f t="array" ref="H243">IFERROR(INDEX('計測入力シート（ここのみ編集可）'!$BD$17:$BD$116,MATCH(A235&amp;B235,'計測入力シート（ここのみ編集可）'!$BO$17:$BO$116,0)),"")</f>
        <v/>
      </c>
    </row>
    <row r="244" ht="20.25" customHeight="1">
      <c r="D244" s="308"/>
    </row>
    <row r="245" ht="27.0" customHeight="1">
      <c r="A245" s="52" t="str">
        <f>A235</f>
        <v>R</v>
      </c>
      <c r="B245" s="52">
        <f>B235+1</f>
        <v>25</v>
      </c>
      <c r="D245" s="271" t="s">
        <v>80</v>
      </c>
      <c r="E245" s="272" t="s">
        <v>81</v>
      </c>
      <c r="F245" s="272" t="s">
        <v>82</v>
      </c>
      <c r="G245" s="273" t="s">
        <v>49</v>
      </c>
      <c r="H245" s="274"/>
    </row>
    <row r="246" ht="27.0" customHeight="1">
      <c r="A246" s="86"/>
      <c r="B246" s="86"/>
      <c r="D246" s="275" t="str">
        <f t="array" ref="D246">IFERROR(INDEX('計測入力シート（ここのみ編集可）'!$BN$17:$BN$116,MATCH(A245&amp;B245,'計測入力シート（ここのみ編集可）'!$BO$17:$BO$116,0)),"")</f>
        <v/>
      </c>
      <c r="E246" s="276" t="str">
        <f t="array" ref="E246">IFERROR(INDEX('計測入力シート（ここのみ編集可）'!$BP$17:$BP$116,MATCH(A245&amp;B245,'計測入力シート（ここのみ編集可）'!$BO$17:$BO$116,0)),"")</f>
        <v/>
      </c>
      <c r="F246" s="277" t="str">
        <f t="array" ref="F246">IFERROR(INDEX('計測入力シート（ここのみ編集可）'!$BR$17:$BR$116,MATCH(A245&amp;B245,'計測入力シート（ここのみ編集可）'!$BO$17:$BO$116,0)),"")</f>
        <v/>
      </c>
      <c r="G246" s="278" t="str">
        <f t="array" ref="G246">IFERROR(INDEX('計測入力シート（ここのみ編集可）'!$BL$17:$BL$116,MATCH(A245&amp;B245,'計測入力シート（ここのみ編集可）'!$BO$17:$BO$116,0)),"")</f>
        <v/>
      </c>
      <c r="H246" s="279"/>
    </row>
    <row r="247" ht="27.0" customHeight="1">
      <c r="D247" s="280" t="s">
        <v>2</v>
      </c>
      <c r="E247" s="281" t="str">
        <f t="array" ref="E247">IFERROR(INDEX('計測入力シート（ここのみ編集可）'!$C$17:$C$116,MATCH(A245&amp;B245,'計測入力シート（ここのみ編集可）'!$BO$17:$BO$116,0)),"")</f>
        <v/>
      </c>
      <c r="F247" s="282" t="s">
        <v>17</v>
      </c>
      <c r="G247" s="283" t="str">
        <f t="array" ref="G247">IFERROR(INDEX('計測入力シート（ここのみ編集可）'!$D$17:$D$116,MATCH(A245&amp;B245,'計測入力シート（ここのみ編集可）'!$BO$17:$BO$116,0)),"")</f>
        <v/>
      </c>
      <c r="H247" s="284"/>
    </row>
    <row r="248" ht="27.0" customHeight="1">
      <c r="D248" s="285" t="s">
        <v>1</v>
      </c>
      <c r="E248" s="286" t="str">
        <f t="array" ref="E248">IFERROR(INDEX('計測入力シート（ここのみ編集可）'!$B$17:$B$116,MATCH(A245&amp;B245,'計測入力シート（ここのみ編集可）'!$BO$17:$BO$116,0)),"")</f>
        <v/>
      </c>
      <c r="F248" s="287" t="s">
        <v>18</v>
      </c>
      <c r="G248" s="288" t="str">
        <f t="array" ref="G248">IFERROR(INDEX('計測入力シート（ここのみ編集可）'!$E$17:$E$116,MATCH(A245&amp;B245,'計測入力シート（ここのみ編集可）'!$BO$17:$BO$116,0)),"")</f>
        <v/>
      </c>
      <c r="H248" s="289"/>
    </row>
    <row r="249" ht="24.75" customHeight="1">
      <c r="D249" s="290" t="s">
        <v>92</v>
      </c>
      <c r="E249" s="291" t="str">
        <f t="array" ref="E249">IFERROR(INDEX(#REF!,MATCH(A245&amp;B245,'計測入力シート（ここのみ編集可）'!$BO$17:$BO$116,0)),"")</f>
        <v/>
      </c>
      <c r="H249" s="232"/>
    </row>
    <row r="250" ht="52.5" customHeight="1">
      <c r="D250" s="292" t="s">
        <v>100</v>
      </c>
      <c r="E250" s="293" t="str">
        <f t="array" ref="E250">IFERROR(INDEX(#REF!,MATCH(A245&amp;B245,'計測入力シート（ここのみ編集可）'!$BO$17:$BO$116,0)),"")</f>
        <v/>
      </c>
      <c r="F250" s="95"/>
      <c r="G250" s="95"/>
      <c r="H250" s="96"/>
    </row>
    <row r="251" ht="20.25" customHeight="1">
      <c r="D251" s="294" t="s">
        <v>39</v>
      </c>
      <c r="E251" s="295" t="str">
        <f t="array" ref="E251">IFERROR(INDEX('計測入力シート（ここのみ編集可）'!$AW$17:$AW$116,MATCH(A245&amp;B245,'計測入力シート（ここのみ編集可）'!$BO$17:$BO$116,0)),"")</f>
        <v/>
      </c>
      <c r="F251" s="296"/>
      <c r="G251" s="297" t="s">
        <v>110</v>
      </c>
      <c r="H251" s="298" t="str">
        <f t="array" ref="H251">IFERROR(INDEX('計測入力シート（ここのみ編集可）'!$AY$17:$AY$116,MATCH(A245&amp;B245,'計測入力シート（ここのみ編集可）'!$BO$17:$BO$116,0)),"")</f>
        <v/>
      </c>
    </row>
    <row r="252" ht="20.25" customHeight="1">
      <c r="D252" s="299" t="s">
        <v>42</v>
      </c>
      <c r="E252" s="300" t="str">
        <f t="array" ref="E252">IFERROR(INDEX('計測入力シート（ここのみ編集可）'!$AZ$17:$AZ$116,MATCH(A245&amp;B245,'計測入力シート（ここのみ編集可）'!$BO$17:$BO$116,0)),"")</f>
        <v/>
      </c>
      <c r="F252" s="116"/>
      <c r="G252" s="301" t="s">
        <v>111</v>
      </c>
      <c r="H252" s="302" t="str">
        <f t="array" ref="H252">IFERROR(INDEX('計測入力シート（ここのみ編集可）'!$BB$17:$BB$116,MATCH(A245&amp;B245,'計測入力シート（ここのみ編集可）'!$BO$17:$BO$116,0)),"")</f>
        <v/>
      </c>
    </row>
    <row r="253" ht="20.25" customHeight="1">
      <c r="D253" s="303" t="s">
        <v>112</v>
      </c>
      <c r="E253" s="304" t="str">
        <f t="array" ref="E253">IFERROR(INDEX('計測入力シート（ここのみ編集可）'!$BC$17:$BC$116,MATCH(A245&amp;B245,'計測入力シート（ここのみ編集可）'!$BO$17:$BO$116,0)),"")</f>
        <v/>
      </c>
      <c r="F253" s="305"/>
      <c r="G253" s="306" t="s">
        <v>25</v>
      </c>
      <c r="H253" s="307" t="str">
        <f t="array" ref="H253">IFERROR(INDEX('計測入力シート（ここのみ編集可）'!$BD$17:$BD$116,MATCH(A245&amp;B245,'計測入力シート（ここのみ編集可）'!$BO$17:$BO$116,0)),"")</f>
        <v/>
      </c>
    </row>
    <row r="254" ht="20.25" customHeight="1">
      <c r="D254" s="308"/>
    </row>
    <row r="255" ht="27.0" customHeight="1">
      <c r="A255" s="52" t="str">
        <f>A245</f>
        <v>R</v>
      </c>
      <c r="B255" s="52">
        <f>B245+1</f>
        <v>26</v>
      </c>
      <c r="D255" s="271" t="s">
        <v>80</v>
      </c>
      <c r="E255" s="272" t="s">
        <v>81</v>
      </c>
      <c r="F255" s="272" t="s">
        <v>82</v>
      </c>
      <c r="G255" s="273" t="s">
        <v>49</v>
      </c>
      <c r="H255" s="274"/>
    </row>
    <row r="256" ht="27.0" customHeight="1">
      <c r="A256" s="86"/>
      <c r="B256" s="86"/>
      <c r="D256" s="275" t="str">
        <f t="array" ref="D256">IFERROR(INDEX('計測入力シート（ここのみ編集可）'!$BN$17:$BN$116,MATCH(A255&amp;B255,'計測入力シート（ここのみ編集可）'!$BO$17:$BO$116,0)),"")</f>
        <v/>
      </c>
      <c r="E256" s="276" t="str">
        <f t="array" ref="E256">IFERROR(INDEX('計測入力シート（ここのみ編集可）'!$BP$17:$BP$116,MATCH(A255&amp;B255,'計測入力シート（ここのみ編集可）'!$BO$17:$BO$116,0)),"")</f>
        <v/>
      </c>
      <c r="F256" s="277" t="str">
        <f t="array" ref="F256">IFERROR(INDEX('計測入力シート（ここのみ編集可）'!$BR$17:$BR$116,MATCH(A255&amp;B255,'計測入力シート（ここのみ編集可）'!$BO$17:$BO$116,0)),"")</f>
        <v/>
      </c>
      <c r="G256" s="278" t="str">
        <f t="array" ref="G256">IFERROR(INDEX('計測入力シート（ここのみ編集可）'!$BL$17:$BL$116,MATCH(A255&amp;B255,'計測入力シート（ここのみ編集可）'!$BO$17:$BO$116,0)),"")</f>
        <v/>
      </c>
      <c r="H256" s="279"/>
    </row>
    <row r="257" ht="27.0" customHeight="1">
      <c r="D257" s="280" t="s">
        <v>2</v>
      </c>
      <c r="E257" s="281" t="str">
        <f t="array" ref="E257">IFERROR(INDEX('計測入力シート（ここのみ編集可）'!$C$17:$C$116,MATCH(A255&amp;B255,'計測入力シート（ここのみ編集可）'!$BO$17:$BO$116,0)),"")</f>
        <v/>
      </c>
      <c r="F257" s="282" t="s">
        <v>17</v>
      </c>
      <c r="G257" s="283" t="str">
        <f t="array" ref="G257">IFERROR(INDEX('計測入力シート（ここのみ編集可）'!$D$17:$D$116,MATCH(A255&amp;B255,'計測入力シート（ここのみ編集可）'!$BO$17:$BO$116,0)),"")</f>
        <v/>
      </c>
      <c r="H257" s="284"/>
    </row>
    <row r="258" ht="27.0" customHeight="1">
      <c r="D258" s="285" t="s">
        <v>1</v>
      </c>
      <c r="E258" s="286" t="str">
        <f t="array" ref="E258">IFERROR(INDEX('計測入力シート（ここのみ編集可）'!$B$17:$B$116,MATCH(A255&amp;B255,'計測入力シート（ここのみ編集可）'!$BO$17:$BO$116,0)),"")</f>
        <v/>
      </c>
      <c r="F258" s="287" t="s">
        <v>18</v>
      </c>
      <c r="G258" s="288" t="str">
        <f t="array" ref="G258">IFERROR(INDEX('計測入力シート（ここのみ編集可）'!$E$17:$E$116,MATCH(A255&amp;B255,'計測入力シート（ここのみ編集可）'!$BO$17:$BO$116,0)),"")</f>
        <v/>
      </c>
      <c r="H258" s="289"/>
    </row>
    <row r="259" ht="24.75" customHeight="1">
      <c r="D259" s="290" t="s">
        <v>92</v>
      </c>
      <c r="E259" s="291" t="str">
        <f t="array" ref="E259">IFERROR(INDEX(#REF!,MATCH(A255&amp;B255,'計測入力シート（ここのみ編集可）'!$BO$17:$BO$116,0)),"")</f>
        <v/>
      </c>
      <c r="H259" s="232"/>
    </row>
    <row r="260" ht="52.5" customHeight="1">
      <c r="D260" s="292" t="s">
        <v>100</v>
      </c>
      <c r="E260" s="293" t="str">
        <f t="array" ref="E260">IFERROR(INDEX(#REF!,MATCH(A255&amp;B255,'計測入力シート（ここのみ編集可）'!$BO$17:$BO$116,0)),"")</f>
        <v/>
      </c>
      <c r="F260" s="95"/>
      <c r="G260" s="95"/>
      <c r="H260" s="96"/>
    </row>
    <row r="261" ht="20.25" customHeight="1">
      <c r="D261" s="294" t="s">
        <v>39</v>
      </c>
      <c r="E261" s="295" t="str">
        <f t="array" ref="E261">IFERROR(INDEX('計測入力シート（ここのみ編集可）'!$AW$17:$AW$116,MATCH(A255&amp;B255,'計測入力シート（ここのみ編集可）'!$BO$17:$BO$116,0)),"")</f>
        <v/>
      </c>
      <c r="F261" s="296"/>
      <c r="G261" s="297" t="s">
        <v>110</v>
      </c>
      <c r="H261" s="298" t="str">
        <f t="array" ref="H261">IFERROR(INDEX('計測入力シート（ここのみ編集可）'!$AY$17:$AY$116,MATCH(A255&amp;B255,'計測入力シート（ここのみ編集可）'!$BO$17:$BO$116,0)),"")</f>
        <v/>
      </c>
    </row>
    <row r="262" ht="20.25" customHeight="1">
      <c r="D262" s="299" t="s">
        <v>42</v>
      </c>
      <c r="E262" s="300" t="str">
        <f t="array" ref="E262">IFERROR(INDEX('計測入力シート（ここのみ編集可）'!$AZ$17:$AZ$116,MATCH(A255&amp;B255,'計測入力シート（ここのみ編集可）'!$BO$17:$BO$116,0)),"")</f>
        <v/>
      </c>
      <c r="F262" s="116"/>
      <c r="G262" s="301" t="s">
        <v>111</v>
      </c>
      <c r="H262" s="302" t="str">
        <f t="array" ref="H262">IFERROR(INDEX('計測入力シート（ここのみ編集可）'!$BB$17:$BB$116,MATCH(A255&amp;B255,'計測入力シート（ここのみ編集可）'!$BO$17:$BO$116,0)),"")</f>
        <v/>
      </c>
    </row>
    <row r="263" ht="20.25" customHeight="1">
      <c r="D263" s="303" t="s">
        <v>112</v>
      </c>
      <c r="E263" s="304" t="str">
        <f t="array" ref="E263">IFERROR(INDEX('計測入力シート（ここのみ編集可）'!$BC$17:$BC$116,MATCH(A255&amp;B255,'計測入力シート（ここのみ編集可）'!$BO$17:$BO$116,0)),"")</f>
        <v/>
      </c>
      <c r="F263" s="305"/>
      <c r="G263" s="306" t="s">
        <v>25</v>
      </c>
      <c r="H263" s="307" t="str">
        <f t="array" ref="H263">IFERROR(INDEX('計測入力シート（ここのみ編集可）'!$BD$17:$BD$116,MATCH(A255&amp;B255,'計測入力シート（ここのみ編集可）'!$BO$17:$BO$116,0)),"")</f>
        <v/>
      </c>
    </row>
    <row r="264" ht="20.25" customHeight="1">
      <c r="D264" s="308"/>
    </row>
    <row r="265" ht="27.0" customHeight="1">
      <c r="A265" s="52" t="str">
        <f>A255</f>
        <v>R</v>
      </c>
      <c r="B265" s="52">
        <f>B255+1</f>
        <v>27</v>
      </c>
      <c r="D265" s="271" t="s">
        <v>80</v>
      </c>
      <c r="E265" s="272" t="s">
        <v>81</v>
      </c>
      <c r="F265" s="272" t="s">
        <v>82</v>
      </c>
      <c r="G265" s="273" t="s">
        <v>49</v>
      </c>
      <c r="H265" s="274"/>
    </row>
    <row r="266" ht="27.0" customHeight="1">
      <c r="A266" s="86"/>
      <c r="B266" s="86"/>
      <c r="D266" s="275" t="str">
        <f t="array" ref="D266">IFERROR(INDEX('計測入力シート（ここのみ編集可）'!$BN$17:$BN$116,MATCH(A265&amp;B265,'計測入力シート（ここのみ編集可）'!$BO$17:$BO$116,0)),"")</f>
        <v/>
      </c>
      <c r="E266" s="276" t="str">
        <f t="array" ref="E266">IFERROR(INDEX('計測入力シート（ここのみ編集可）'!$BP$17:$BP$116,MATCH(A265&amp;B265,'計測入力シート（ここのみ編集可）'!$BO$17:$BO$116,0)),"")</f>
        <v/>
      </c>
      <c r="F266" s="277" t="str">
        <f t="array" ref="F266">IFERROR(INDEX('計測入力シート（ここのみ編集可）'!$BR$17:$BR$116,MATCH(A265&amp;B265,'計測入力シート（ここのみ編集可）'!$BO$17:$BO$116,0)),"")</f>
        <v/>
      </c>
      <c r="G266" s="278" t="str">
        <f t="array" ref="G266">IFERROR(INDEX('計測入力シート（ここのみ編集可）'!$BL$17:$BL$116,MATCH(A265&amp;B265,'計測入力シート（ここのみ編集可）'!$BO$17:$BO$116,0)),"")</f>
        <v/>
      </c>
      <c r="H266" s="279"/>
    </row>
    <row r="267" ht="27.0" customHeight="1">
      <c r="D267" s="280" t="s">
        <v>2</v>
      </c>
      <c r="E267" s="281" t="str">
        <f t="array" ref="E267">IFERROR(INDEX('計測入力シート（ここのみ編集可）'!$C$17:$C$116,MATCH(A265&amp;B265,'計測入力シート（ここのみ編集可）'!$BO$17:$BO$116,0)),"")</f>
        <v/>
      </c>
      <c r="F267" s="282" t="s">
        <v>17</v>
      </c>
      <c r="G267" s="283" t="str">
        <f t="array" ref="G267">IFERROR(INDEX('計測入力シート（ここのみ編集可）'!$D$17:$D$116,MATCH(A265&amp;B265,'計測入力シート（ここのみ編集可）'!$BO$17:$BO$116,0)),"")</f>
        <v/>
      </c>
      <c r="H267" s="284"/>
    </row>
    <row r="268" ht="27.0" customHeight="1">
      <c r="D268" s="285" t="s">
        <v>1</v>
      </c>
      <c r="E268" s="286" t="str">
        <f t="array" ref="E268">IFERROR(INDEX('計測入力シート（ここのみ編集可）'!$B$17:$B$116,MATCH(A265&amp;B265,'計測入力シート（ここのみ編集可）'!$BO$17:$BO$116,0)),"")</f>
        <v/>
      </c>
      <c r="F268" s="287" t="s">
        <v>18</v>
      </c>
      <c r="G268" s="288" t="str">
        <f t="array" ref="G268">IFERROR(INDEX('計測入力シート（ここのみ編集可）'!$E$17:$E$116,MATCH(A265&amp;B265,'計測入力シート（ここのみ編集可）'!$BO$17:$BO$116,0)),"")</f>
        <v/>
      </c>
      <c r="H268" s="289"/>
    </row>
    <row r="269" ht="24.75" customHeight="1">
      <c r="D269" s="290" t="s">
        <v>92</v>
      </c>
      <c r="E269" s="291" t="str">
        <f t="array" ref="E269">IFERROR(INDEX(#REF!,MATCH(A265&amp;B265,'計測入力シート（ここのみ編集可）'!$BO$17:$BO$116,0)),"")</f>
        <v/>
      </c>
      <c r="H269" s="232"/>
    </row>
    <row r="270" ht="52.5" customHeight="1">
      <c r="D270" s="292" t="s">
        <v>100</v>
      </c>
      <c r="E270" s="293" t="str">
        <f t="array" ref="E270">IFERROR(INDEX(#REF!,MATCH(A265&amp;B265,'計測入力シート（ここのみ編集可）'!$BO$17:$BO$116,0)),"")</f>
        <v/>
      </c>
      <c r="F270" s="95"/>
      <c r="G270" s="95"/>
      <c r="H270" s="96"/>
    </row>
    <row r="271" ht="20.25" customHeight="1">
      <c r="D271" s="294" t="s">
        <v>39</v>
      </c>
      <c r="E271" s="295" t="str">
        <f t="array" ref="E271">IFERROR(INDEX('計測入力シート（ここのみ編集可）'!$AW$17:$AW$116,MATCH(A265&amp;B265,'計測入力シート（ここのみ編集可）'!$BO$17:$BO$116,0)),"")</f>
        <v/>
      </c>
      <c r="F271" s="296"/>
      <c r="G271" s="297" t="s">
        <v>110</v>
      </c>
      <c r="H271" s="298" t="str">
        <f t="array" ref="H271">IFERROR(INDEX('計測入力シート（ここのみ編集可）'!$AY$17:$AY$116,MATCH(A265&amp;B265,'計測入力シート（ここのみ編集可）'!$BO$17:$BO$116,0)),"")</f>
        <v/>
      </c>
    </row>
    <row r="272" ht="20.25" customHeight="1">
      <c r="D272" s="299" t="s">
        <v>42</v>
      </c>
      <c r="E272" s="300" t="str">
        <f t="array" ref="E272">IFERROR(INDEX('計測入力シート（ここのみ編集可）'!$AZ$17:$AZ$116,MATCH(A265&amp;B265,'計測入力シート（ここのみ編集可）'!$BO$17:$BO$116,0)),"")</f>
        <v/>
      </c>
      <c r="F272" s="116"/>
      <c r="G272" s="301" t="s">
        <v>111</v>
      </c>
      <c r="H272" s="302" t="str">
        <f t="array" ref="H272">IFERROR(INDEX('計測入力シート（ここのみ編集可）'!$BB$17:$BB$116,MATCH(A265&amp;B265,'計測入力シート（ここのみ編集可）'!$BO$17:$BO$116,0)),"")</f>
        <v/>
      </c>
    </row>
    <row r="273" ht="20.25" customHeight="1">
      <c r="D273" s="303" t="s">
        <v>112</v>
      </c>
      <c r="E273" s="304" t="str">
        <f t="array" ref="E273">IFERROR(INDEX('計測入力シート（ここのみ編集可）'!$BC$17:$BC$116,MATCH(A265&amp;B265,'計測入力シート（ここのみ編集可）'!$BO$17:$BO$116,0)),"")</f>
        <v/>
      </c>
      <c r="F273" s="305"/>
      <c r="G273" s="306" t="s">
        <v>25</v>
      </c>
      <c r="H273" s="307" t="str">
        <f t="array" ref="H273">IFERROR(INDEX('計測入力シート（ここのみ編集可）'!$BD$17:$BD$116,MATCH(A265&amp;B265,'計測入力シート（ここのみ編集可）'!$BO$17:$BO$116,0)),"")</f>
        <v/>
      </c>
    </row>
    <row r="274" ht="20.25" customHeight="1">
      <c r="D274" s="308"/>
    </row>
    <row r="275" ht="27.0" customHeight="1">
      <c r="A275" s="52" t="str">
        <f>A265</f>
        <v>R</v>
      </c>
      <c r="B275" s="52">
        <f>B265+1</f>
        <v>28</v>
      </c>
      <c r="D275" s="271" t="s">
        <v>80</v>
      </c>
      <c r="E275" s="272" t="s">
        <v>81</v>
      </c>
      <c r="F275" s="272" t="s">
        <v>82</v>
      </c>
      <c r="G275" s="273" t="s">
        <v>49</v>
      </c>
      <c r="H275" s="274"/>
    </row>
    <row r="276" ht="27.0" customHeight="1">
      <c r="A276" s="86"/>
      <c r="B276" s="86"/>
      <c r="D276" s="275" t="str">
        <f t="array" ref="D276">IFERROR(INDEX('計測入力シート（ここのみ編集可）'!$BN$17:$BN$116,MATCH(A275&amp;B275,'計測入力シート（ここのみ編集可）'!$BO$17:$BO$116,0)),"")</f>
        <v/>
      </c>
      <c r="E276" s="276" t="str">
        <f t="array" ref="E276">IFERROR(INDEX('計測入力シート（ここのみ編集可）'!$BP$17:$BP$116,MATCH(A275&amp;B275,'計測入力シート（ここのみ編集可）'!$BO$17:$BO$116,0)),"")</f>
        <v/>
      </c>
      <c r="F276" s="277" t="str">
        <f t="array" ref="F276">IFERROR(INDEX('計測入力シート（ここのみ編集可）'!$BR$17:$BR$116,MATCH(A275&amp;B275,'計測入力シート（ここのみ編集可）'!$BO$17:$BO$116,0)),"")</f>
        <v/>
      </c>
      <c r="G276" s="278" t="str">
        <f t="array" ref="G276">IFERROR(INDEX('計測入力シート（ここのみ編集可）'!$BL$17:$BL$116,MATCH(A275&amp;B275,'計測入力シート（ここのみ編集可）'!$BO$17:$BO$116,0)),"")</f>
        <v/>
      </c>
      <c r="H276" s="279"/>
    </row>
    <row r="277" ht="27.0" customHeight="1">
      <c r="D277" s="280" t="s">
        <v>2</v>
      </c>
      <c r="E277" s="281" t="str">
        <f t="array" ref="E277">IFERROR(INDEX('計測入力シート（ここのみ編集可）'!$C$17:$C$116,MATCH(A275&amp;B275,'計測入力シート（ここのみ編集可）'!$BO$17:$BO$116,0)),"")</f>
        <v/>
      </c>
      <c r="F277" s="282" t="s">
        <v>17</v>
      </c>
      <c r="G277" s="283" t="str">
        <f t="array" ref="G277">IFERROR(INDEX('計測入力シート（ここのみ編集可）'!$D$17:$D$116,MATCH(A275&amp;B275,'計測入力シート（ここのみ編集可）'!$BO$17:$BO$116,0)),"")</f>
        <v/>
      </c>
      <c r="H277" s="284"/>
    </row>
    <row r="278" ht="27.0" customHeight="1">
      <c r="D278" s="285" t="s">
        <v>1</v>
      </c>
      <c r="E278" s="286" t="str">
        <f t="array" ref="E278">IFERROR(INDEX('計測入力シート（ここのみ編集可）'!$B$17:$B$116,MATCH(A275&amp;B275,'計測入力シート（ここのみ編集可）'!$BO$17:$BO$116,0)),"")</f>
        <v/>
      </c>
      <c r="F278" s="287" t="s">
        <v>18</v>
      </c>
      <c r="G278" s="288" t="str">
        <f t="array" ref="G278">IFERROR(INDEX('計測入力シート（ここのみ編集可）'!$E$17:$E$116,MATCH(A275&amp;B275,'計測入力シート（ここのみ編集可）'!$BO$17:$BO$116,0)),"")</f>
        <v/>
      </c>
      <c r="H278" s="289"/>
    </row>
    <row r="279" ht="24.75" customHeight="1">
      <c r="D279" s="290" t="s">
        <v>92</v>
      </c>
      <c r="E279" s="291" t="str">
        <f t="array" ref="E279">IFERROR(INDEX(#REF!,MATCH(A275&amp;B275,'計測入力シート（ここのみ編集可）'!$BO$17:$BO$116,0)),"")</f>
        <v/>
      </c>
      <c r="H279" s="232"/>
    </row>
    <row r="280" ht="52.5" customHeight="1">
      <c r="D280" s="292" t="s">
        <v>100</v>
      </c>
      <c r="E280" s="293" t="str">
        <f t="array" ref="E280">IFERROR(INDEX(#REF!,MATCH(A275&amp;B275,'計測入力シート（ここのみ編集可）'!$BO$17:$BO$116,0)),"")</f>
        <v/>
      </c>
      <c r="F280" s="95"/>
      <c r="G280" s="95"/>
      <c r="H280" s="96"/>
    </row>
    <row r="281" ht="20.25" customHeight="1">
      <c r="D281" s="294" t="s">
        <v>39</v>
      </c>
      <c r="E281" s="295" t="str">
        <f t="array" ref="E281">IFERROR(INDEX('計測入力シート（ここのみ編集可）'!$AW$17:$AW$116,MATCH(A275&amp;B275,'計測入力シート（ここのみ編集可）'!$BO$17:$BO$116,0)),"")</f>
        <v/>
      </c>
      <c r="F281" s="296"/>
      <c r="G281" s="297" t="s">
        <v>110</v>
      </c>
      <c r="H281" s="298" t="str">
        <f t="array" ref="H281">IFERROR(INDEX('計測入力シート（ここのみ編集可）'!$AY$17:$AY$116,MATCH(A275&amp;B275,'計測入力シート（ここのみ編集可）'!$BO$17:$BO$116,0)),"")</f>
        <v/>
      </c>
    </row>
    <row r="282" ht="20.25" customHeight="1">
      <c r="D282" s="299" t="s">
        <v>42</v>
      </c>
      <c r="E282" s="300" t="str">
        <f t="array" ref="E282">IFERROR(INDEX('計測入力シート（ここのみ編集可）'!$AZ$17:$AZ$116,MATCH(A275&amp;B275,'計測入力シート（ここのみ編集可）'!$BO$17:$BO$116,0)),"")</f>
        <v/>
      </c>
      <c r="F282" s="116"/>
      <c r="G282" s="301" t="s">
        <v>111</v>
      </c>
      <c r="H282" s="302" t="str">
        <f t="array" ref="H282">IFERROR(INDEX('計測入力シート（ここのみ編集可）'!$BB$17:$BB$116,MATCH(A275&amp;B275,'計測入力シート（ここのみ編集可）'!$BO$17:$BO$116,0)),"")</f>
        <v/>
      </c>
    </row>
    <row r="283" ht="20.25" customHeight="1">
      <c r="D283" s="303" t="s">
        <v>112</v>
      </c>
      <c r="E283" s="304" t="str">
        <f t="array" ref="E283">IFERROR(INDEX('計測入力シート（ここのみ編集可）'!$BC$17:$BC$116,MATCH(A275&amp;B275,'計測入力シート（ここのみ編集可）'!$BO$17:$BO$116,0)),"")</f>
        <v/>
      </c>
      <c r="F283" s="305"/>
      <c r="G283" s="306" t="s">
        <v>25</v>
      </c>
      <c r="H283" s="307" t="str">
        <f t="array" ref="H283">IFERROR(INDEX('計測入力シート（ここのみ編集可）'!$BD$17:$BD$116,MATCH(A275&amp;B275,'計測入力シート（ここのみ編集可）'!$BO$17:$BO$116,0)),"")</f>
        <v/>
      </c>
    </row>
    <row r="284" ht="20.25" customHeight="1">
      <c r="D284" s="308"/>
    </row>
    <row r="285" ht="27.0" customHeight="1">
      <c r="A285" s="52" t="str">
        <f>A275</f>
        <v>R</v>
      </c>
      <c r="B285" s="52">
        <f>B275+1</f>
        <v>29</v>
      </c>
      <c r="D285" s="271" t="s">
        <v>80</v>
      </c>
      <c r="E285" s="272" t="s">
        <v>81</v>
      </c>
      <c r="F285" s="272" t="s">
        <v>82</v>
      </c>
      <c r="G285" s="273" t="s">
        <v>49</v>
      </c>
      <c r="H285" s="274"/>
    </row>
    <row r="286" ht="27.0" customHeight="1">
      <c r="A286" s="86"/>
      <c r="B286" s="86"/>
      <c r="D286" s="275" t="str">
        <f t="array" ref="D286">IFERROR(INDEX('計測入力シート（ここのみ編集可）'!$BN$17:$BN$116,MATCH(A285&amp;B285,'計測入力シート（ここのみ編集可）'!$BO$17:$BO$116,0)),"")</f>
        <v/>
      </c>
      <c r="E286" s="276" t="str">
        <f t="array" ref="E286">IFERROR(INDEX('計測入力シート（ここのみ編集可）'!$BP$17:$BP$116,MATCH(A285&amp;B285,'計測入力シート（ここのみ編集可）'!$BO$17:$BO$116,0)),"")</f>
        <v/>
      </c>
      <c r="F286" s="277" t="str">
        <f t="array" ref="F286">IFERROR(INDEX('計測入力シート（ここのみ編集可）'!$BR$17:$BR$116,MATCH(A285&amp;B285,'計測入力シート（ここのみ編集可）'!$BO$17:$BO$116,0)),"")</f>
        <v/>
      </c>
      <c r="G286" s="278" t="str">
        <f t="array" ref="G286">IFERROR(INDEX('計測入力シート（ここのみ編集可）'!$BL$17:$BL$116,MATCH(A285&amp;B285,'計測入力シート（ここのみ編集可）'!$BO$17:$BO$116,0)),"")</f>
        <v/>
      </c>
      <c r="H286" s="279"/>
    </row>
    <row r="287" ht="27.0" customHeight="1">
      <c r="D287" s="280" t="s">
        <v>2</v>
      </c>
      <c r="E287" s="281" t="str">
        <f t="array" ref="E287">IFERROR(INDEX('計測入力シート（ここのみ編集可）'!$C$17:$C$116,MATCH(A285&amp;B285,'計測入力シート（ここのみ編集可）'!$BO$17:$BO$116,0)),"")</f>
        <v/>
      </c>
      <c r="F287" s="282" t="s">
        <v>17</v>
      </c>
      <c r="G287" s="283" t="str">
        <f t="array" ref="G287">IFERROR(INDEX('計測入力シート（ここのみ編集可）'!$D$17:$D$116,MATCH(A285&amp;B285,'計測入力シート（ここのみ編集可）'!$BO$17:$BO$116,0)),"")</f>
        <v/>
      </c>
      <c r="H287" s="284"/>
    </row>
    <row r="288" ht="27.0" customHeight="1">
      <c r="D288" s="285" t="s">
        <v>1</v>
      </c>
      <c r="E288" s="286" t="str">
        <f t="array" ref="E288">IFERROR(INDEX('計測入力シート（ここのみ編集可）'!$B$17:$B$116,MATCH(A285&amp;B285,'計測入力シート（ここのみ編集可）'!$BO$17:$BO$116,0)),"")</f>
        <v/>
      </c>
      <c r="F288" s="287" t="s">
        <v>18</v>
      </c>
      <c r="G288" s="288" t="str">
        <f t="array" ref="G288">IFERROR(INDEX('計測入力シート（ここのみ編集可）'!$E$17:$E$116,MATCH(A285&amp;B285,'計測入力シート（ここのみ編集可）'!$BO$17:$BO$116,0)),"")</f>
        <v/>
      </c>
      <c r="H288" s="289"/>
    </row>
    <row r="289" ht="24.75" customHeight="1">
      <c r="D289" s="290" t="s">
        <v>92</v>
      </c>
      <c r="E289" s="291" t="str">
        <f t="array" ref="E289">IFERROR(INDEX(#REF!,MATCH(A285&amp;B285,'計測入力シート（ここのみ編集可）'!$BO$17:$BO$116,0)),"")</f>
        <v/>
      </c>
      <c r="H289" s="232"/>
    </row>
    <row r="290" ht="52.5" customHeight="1">
      <c r="D290" s="292" t="s">
        <v>100</v>
      </c>
      <c r="E290" s="293" t="str">
        <f t="array" ref="E290">IFERROR(INDEX(#REF!,MATCH(A285&amp;B285,'計測入力シート（ここのみ編集可）'!$BO$17:$BO$116,0)),"")</f>
        <v/>
      </c>
      <c r="F290" s="95"/>
      <c r="G290" s="95"/>
      <c r="H290" s="96"/>
    </row>
    <row r="291" ht="20.25" customHeight="1">
      <c r="D291" s="294" t="s">
        <v>39</v>
      </c>
      <c r="E291" s="295" t="str">
        <f t="array" ref="E291">IFERROR(INDEX('計測入力シート（ここのみ編集可）'!$AW$17:$AW$116,MATCH(A285&amp;B285,'計測入力シート（ここのみ編集可）'!$BO$17:$BO$116,0)),"")</f>
        <v/>
      </c>
      <c r="F291" s="296"/>
      <c r="G291" s="297" t="s">
        <v>110</v>
      </c>
      <c r="H291" s="298" t="str">
        <f t="array" ref="H291">IFERROR(INDEX('計測入力シート（ここのみ編集可）'!$AY$17:$AY$116,MATCH(A285&amp;B285,'計測入力シート（ここのみ編集可）'!$BO$17:$BO$116,0)),"")</f>
        <v/>
      </c>
    </row>
    <row r="292" ht="20.25" customHeight="1">
      <c r="D292" s="299" t="s">
        <v>42</v>
      </c>
      <c r="E292" s="300" t="str">
        <f t="array" ref="E292">IFERROR(INDEX('計測入力シート（ここのみ編集可）'!$AZ$17:$AZ$116,MATCH(A285&amp;B285,'計測入力シート（ここのみ編集可）'!$BO$17:$BO$116,0)),"")</f>
        <v/>
      </c>
      <c r="F292" s="116"/>
      <c r="G292" s="301" t="s">
        <v>111</v>
      </c>
      <c r="H292" s="302" t="str">
        <f t="array" ref="H292">IFERROR(INDEX('計測入力シート（ここのみ編集可）'!$BB$17:$BB$116,MATCH(A285&amp;B285,'計測入力シート（ここのみ編集可）'!$BO$17:$BO$116,0)),"")</f>
        <v/>
      </c>
    </row>
    <row r="293" ht="20.25" customHeight="1">
      <c r="D293" s="303" t="s">
        <v>112</v>
      </c>
      <c r="E293" s="304" t="str">
        <f t="array" ref="E293">IFERROR(INDEX('計測入力シート（ここのみ編集可）'!$BC$17:$BC$116,MATCH(A285&amp;B285,'計測入力シート（ここのみ編集可）'!$BO$17:$BO$116,0)),"")</f>
        <v/>
      </c>
      <c r="F293" s="305"/>
      <c r="G293" s="306" t="s">
        <v>25</v>
      </c>
      <c r="H293" s="307" t="str">
        <f t="array" ref="H293">IFERROR(INDEX('計測入力シート（ここのみ編集可）'!$BD$17:$BD$116,MATCH(A285&amp;B285,'計測入力シート（ここのみ編集可）'!$BO$17:$BO$116,0)),"")</f>
        <v/>
      </c>
    </row>
    <row r="294" ht="20.25" customHeight="1">
      <c r="D294" s="308"/>
    </row>
    <row r="295" ht="27.0" customHeight="1">
      <c r="A295" s="52" t="str">
        <f>A285</f>
        <v>R</v>
      </c>
      <c r="B295" s="52">
        <f>B285+1</f>
        <v>30</v>
      </c>
      <c r="D295" s="271" t="s">
        <v>80</v>
      </c>
      <c r="E295" s="272" t="s">
        <v>81</v>
      </c>
      <c r="F295" s="272" t="s">
        <v>82</v>
      </c>
      <c r="G295" s="273" t="s">
        <v>49</v>
      </c>
      <c r="H295" s="274"/>
    </row>
    <row r="296" ht="27.0" customHeight="1">
      <c r="A296" s="86"/>
      <c r="B296" s="86"/>
      <c r="D296" s="275" t="str">
        <f t="array" ref="D296">IFERROR(INDEX('計測入力シート（ここのみ編集可）'!$BN$17:$BN$116,MATCH(A295&amp;B295,'計測入力シート（ここのみ編集可）'!$BO$17:$BO$116,0)),"")</f>
        <v/>
      </c>
      <c r="E296" s="276" t="str">
        <f t="array" ref="E296">IFERROR(INDEX('計測入力シート（ここのみ編集可）'!$BP$17:$BP$116,MATCH(A295&amp;B295,'計測入力シート（ここのみ編集可）'!$BO$17:$BO$116,0)),"")</f>
        <v/>
      </c>
      <c r="F296" s="277" t="str">
        <f t="array" ref="F296">IFERROR(INDEX('計測入力シート（ここのみ編集可）'!$BR$17:$BR$116,MATCH(A295&amp;B295,'計測入力シート（ここのみ編集可）'!$BO$17:$BO$116,0)),"")</f>
        <v/>
      </c>
      <c r="G296" s="278" t="str">
        <f t="array" ref="G296">IFERROR(INDEX('計測入力シート（ここのみ編集可）'!$BL$17:$BL$116,MATCH(A295&amp;B295,'計測入力シート（ここのみ編集可）'!$BO$17:$BO$116,0)),"")</f>
        <v/>
      </c>
      <c r="H296" s="279"/>
    </row>
    <row r="297" ht="27.0" customHeight="1">
      <c r="D297" s="280" t="s">
        <v>2</v>
      </c>
      <c r="E297" s="281" t="str">
        <f t="array" ref="E297">IFERROR(INDEX('計測入力シート（ここのみ編集可）'!$C$17:$C$116,MATCH(A295&amp;B295,'計測入力シート（ここのみ編集可）'!$BO$17:$BO$116,0)),"")</f>
        <v/>
      </c>
      <c r="F297" s="282" t="s">
        <v>17</v>
      </c>
      <c r="G297" s="283" t="str">
        <f t="array" ref="G297">IFERROR(INDEX('計測入力シート（ここのみ編集可）'!$D$17:$D$116,MATCH(A295&amp;B295,'計測入力シート（ここのみ編集可）'!$BO$17:$BO$116,0)),"")</f>
        <v/>
      </c>
      <c r="H297" s="284"/>
    </row>
    <row r="298" ht="27.0" customHeight="1">
      <c r="D298" s="285" t="s">
        <v>1</v>
      </c>
      <c r="E298" s="286" t="str">
        <f t="array" ref="E298">IFERROR(INDEX('計測入力シート（ここのみ編集可）'!$B$17:$B$116,MATCH(A295&amp;B295,'計測入力シート（ここのみ編集可）'!$BO$17:$BO$116,0)),"")</f>
        <v/>
      </c>
      <c r="F298" s="287" t="s">
        <v>18</v>
      </c>
      <c r="G298" s="288" t="str">
        <f t="array" ref="G298">IFERROR(INDEX('計測入力シート（ここのみ編集可）'!$E$17:$E$116,MATCH(A295&amp;B295,'計測入力シート（ここのみ編集可）'!$BO$17:$BO$116,0)),"")</f>
        <v/>
      </c>
      <c r="H298" s="289"/>
    </row>
    <row r="299" ht="24.75" customHeight="1">
      <c r="D299" s="290" t="s">
        <v>92</v>
      </c>
      <c r="E299" s="291" t="str">
        <f t="array" ref="E299">IFERROR(INDEX(#REF!,MATCH(A295&amp;B295,'計測入力シート（ここのみ編集可）'!$BO$17:$BO$116,0)),"")</f>
        <v/>
      </c>
      <c r="H299" s="232"/>
    </row>
    <row r="300" ht="52.5" customHeight="1">
      <c r="D300" s="292" t="s">
        <v>100</v>
      </c>
      <c r="E300" s="293" t="str">
        <f t="array" ref="E300">IFERROR(INDEX(#REF!,MATCH(A295&amp;B295,'計測入力シート（ここのみ編集可）'!$BO$17:$BO$116,0)),"")</f>
        <v/>
      </c>
      <c r="F300" s="95"/>
      <c r="G300" s="95"/>
      <c r="H300" s="96"/>
    </row>
    <row r="301" ht="20.25" customHeight="1">
      <c r="D301" s="294" t="s">
        <v>39</v>
      </c>
      <c r="E301" s="295" t="str">
        <f t="array" ref="E301">IFERROR(INDEX('計測入力シート（ここのみ編集可）'!$AW$17:$AW$116,MATCH(A295&amp;B295,'計測入力シート（ここのみ編集可）'!$BO$17:$BO$116,0)),"")</f>
        <v/>
      </c>
      <c r="F301" s="296"/>
      <c r="G301" s="297" t="s">
        <v>110</v>
      </c>
      <c r="H301" s="298" t="str">
        <f t="array" ref="H301">IFERROR(INDEX('計測入力シート（ここのみ編集可）'!$AY$17:$AY$116,MATCH(A295&amp;B295,'計測入力シート（ここのみ編集可）'!$BO$17:$BO$116,0)),"")</f>
        <v/>
      </c>
    </row>
    <row r="302" ht="20.25" customHeight="1">
      <c r="D302" s="299" t="s">
        <v>42</v>
      </c>
      <c r="E302" s="300" t="str">
        <f t="array" ref="E302">IFERROR(INDEX('計測入力シート（ここのみ編集可）'!$AZ$17:$AZ$116,MATCH(A295&amp;B295,'計測入力シート（ここのみ編集可）'!$BO$17:$BO$116,0)),"")</f>
        <v/>
      </c>
      <c r="F302" s="116"/>
      <c r="G302" s="301" t="s">
        <v>111</v>
      </c>
      <c r="H302" s="302" t="str">
        <f t="array" ref="H302">IFERROR(INDEX('計測入力シート（ここのみ編集可）'!$BB$17:$BB$116,MATCH(A295&amp;B295,'計測入力シート（ここのみ編集可）'!$BO$17:$BO$116,0)),"")</f>
        <v/>
      </c>
    </row>
    <row r="303" ht="20.25" customHeight="1">
      <c r="D303" s="303" t="s">
        <v>112</v>
      </c>
      <c r="E303" s="304" t="str">
        <f t="array" ref="E303">IFERROR(INDEX('計測入力シート（ここのみ編集可）'!$BC$17:$BC$116,MATCH(A295&amp;B295,'計測入力シート（ここのみ編集可）'!$BO$17:$BO$116,0)),"")</f>
        <v/>
      </c>
      <c r="F303" s="305"/>
      <c r="G303" s="306" t="s">
        <v>25</v>
      </c>
      <c r="H303" s="307" t="str">
        <f t="array" ref="H303">IFERROR(INDEX('計測入力シート（ここのみ編集可）'!$BD$17:$BD$116,MATCH(A295&amp;B295,'計測入力シート（ここのみ編集可）'!$BO$17:$BO$116,0)),"")</f>
        <v/>
      </c>
    </row>
    <row r="304">
      <c r="D304" s="309"/>
      <c r="E304" s="309"/>
      <c r="F304" s="309"/>
      <c r="G304" s="309"/>
      <c r="H304" s="309"/>
    </row>
    <row r="305">
      <c r="D305" s="309"/>
      <c r="E305" s="309"/>
      <c r="F305" s="309"/>
      <c r="G305" s="309"/>
      <c r="H305" s="309"/>
    </row>
    <row r="306">
      <c r="D306" s="309"/>
      <c r="E306" s="309"/>
      <c r="F306" s="309"/>
      <c r="G306" s="309"/>
      <c r="H306" s="309"/>
    </row>
    <row r="307">
      <c r="D307" s="309"/>
      <c r="E307" s="309"/>
      <c r="F307" s="309"/>
      <c r="G307" s="309"/>
      <c r="H307" s="309"/>
    </row>
    <row r="308">
      <c r="D308" s="309"/>
      <c r="E308" s="309"/>
      <c r="F308" s="309"/>
      <c r="G308" s="309"/>
      <c r="H308" s="309"/>
    </row>
    <row r="309">
      <c r="D309" s="309"/>
      <c r="E309" s="309"/>
      <c r="F309" s="309"/>
      <c r="G309" s="309"/>
      <c r="H309" s="309"/>
    </row>
    <row r="310">
      <c r="D310" s="309"/>
      <c r="E310" s="309"/>
      <c r="F310" s="309"/>
      <c r="G310" s="309"/>
      <c r="H310" s="309"/>
    </row>
    <row r="311">
      <c r="D311" s="309"/>
      <c r="E311" s="309"/>
      <c r="F311" s="309"/>
      <c r="G311" s="309"/>
      <c r="H311" s="309"/>
    </row>
    <row r="312">
      <c r="D312" s="309"/>
      <c r="E312" s="309"/>
      <c r="F312" s="309"/>
      <c r="G312" s="309"/>
      <c r="H312" s="309"/>
    </row>
    <row r="313">
      <c r="D313" s="309"/>
      <c r="E313" s="309"/>
      <c r="F313" s="309"/>
      <c r="G313" s="309"/>
      <c r="H313" s="309"/>
    </row>
    <row r="314">
      <c r="D314" s="309"/>
      <c r="E314" s="309"/>
      <c r="F314" s="309"/>
      <c r="G314" s="309"/>
      <c r="H314" s="309"/>
    </row>
    <row r="315">
      <c r="D315" s="309"/>
      <c r="E315" s="309"/>
      <c r="F315" s="309"/>
      <c r="G315" s="309"/>
      <c r="H315" s="309"/>
    </row>
    <row r="316">
      <c r="D316" s="309"/>
      <c r="E316" s="309"/>
      <c r="F316" s="309"/>
      <c r="G316" s="309"/>
      <c r="H316" s="309"/>
    </row>
    <row r="317">
      <c r="D317" s="309"/>
      <c r="E317" s="309"/>
      <c r="F317" s="309"/>
      <c r="G317" s="309"/>
      <c r="H317" s="309"/>
    </row>
    <row r="318">
      <c r="D318" s="309"/>
      <c r="E318" s="309"/>
      <c r="F318" s="309"/>
      <c r="G318" s="309"/>
      <c r="H318" s="309"/>
    </row>
    <row r="319">
      <c r="D319" s="309"/>
      <c r="E319" s="309"/>
      <c r="F319" s="309"/>
      <c r="G319" s="309"/>
      <c r="H319" s="309"/>
    </row>
    <row r="320">
      <c r="D320" s="309"/>
      <c r="E320" s="309"/>
      <c r="F320" s="309"/>
      <c r="G320" s="309"/>
      <c r="H320" s="309"/>
    </row>
    <row r="321">
      <c r="D321" s="309"/>
      <c r="E321" s="309"/>
      <c r="F321" s="309"/>
      <c r="G321" s="309"/>
      <c r="H321" s="309"/>
      <c r="I321" s="309"/>
    </row>
    <row r="322">
      <c r="D322" s="309"/>
      <c r="E322" s="309"/>
      <c r="F322" s="309"/>
      <c r="G322" s="309"/>
      <c r="H322" s="309"/>
      <c r="I322" s="309"/>
    </row>
    <row r="323">
      <c r="D323" s="309"/>
      <c r="E323" s="309"/>
      <c r="F323" s="309"/>
      <c r="G323" s="309"/>
      <c r="H323" s="309"/>
      <c r="I323" s="309"/>
    </row>
    <row r="324">
      <c r="D324" s="309"/>
      <c r="E324" s="309"/>
      <c r="F324" s="309"/>
      <c r="G324" s="309"/>
      <c r="H324" s="309"/>
      <c r="I324" s="309"/>
    </row>
    <row r="325">
      <c r="D325" s="309"/>
      <c r="E325" s="309"/>
      <c r="F325" s="309"/>
      <c r="G325" s="309"/>
      <c r="H325" s="309"/>
      <c r="I325" s="309"/>
    </row>
    <row r="326">
      <c r="D326" s="309"/>
      <c r="E326" s="309"/>
      <c r="F326" s="309"/>
      <c r="G326" s="309"/>
      <c r="H326" s="309"/>
      <c r="I326" s="309"/>
    </row>
    <row r="327">
      <c r="D327" s="309"/>
      <c r="E327" s="309"/>
      <c r="F327" s="309"/>
      <c r="G327" s="309"/>
      <c r="H327" s="309"/>
      <c r="I327" s="309"/>
    </row>
    <row r="328">
      <c r="D328" s="309"/>
      <c r="E328" s="309"/>
      <c r="F328" s="309"/>
      <c r="G328" s="309"/>
      <c r="H328" s="309"/>
      <c r="I328" s="309"/>
    </row>
    <row r="329">
      <c r="D329" s="309"/>
      <c r="E329" s="309"/>
      <c r="F329" s="309"/>
      <c r="G329" s="309"/>
      <c r="H329" s="309"/>
      <c r="I329" s="309"/>
    </row>
    <row r="330">
      <c r="D330" s="309"/>
      <c r="E330" s="309"/>
      <c r="F330" s="309"/>
      <c r="G330" s="309"/>
      <c r="H330" s="309"/>
      <c r="I330" s="309"/>
    </row>
    <row r="331">
      <c r="D331" s="309"/>
      <c r="E331" s="309"/>
      <c r="F331" s="309"/>
      <c r="G331" s="309"/>
      <c r="H331" s="309"/>
      <c r="I331" s="309"/>
    </row>
    <row r="332">
      <c r="D332" s="309"/>
      <c r="E332" s="309"/>
      <c r="F332" s="309"/>
      <c r="G332" s="309"/>
      <c r="H332" s="309"/>
      <c r="I332" s="309"/>
    </row>
    <row r="333">
      <c r="D333" s="309"/>
      <c r="E333" s="309"/>
      <c r="F333" s="309"/>
      <c r="G333" s="309"/>
      <c r="H333" s="309"/>
      <c r="I333" s="309"/>
    </row>
    <row r="334">
      <c r="D334" s="309"/>
      <c r="E334" s="309"/>
      <c r="F334" s="309"/>
      <c r="G334" s="309"/>
      <c r="H334" s="309"/>
      <c r="I334" s="309"/>
    </row>
    <row r="335">
      <c r="D335" s="309"/>
      <c r="E335" s="309"/>
      <c r="F335" s="309"/>
      <c r="G335" s="309"/>
      <c r="H335" s="309"/>
      <c r="I335" s="309"/>
    </row>
    <row r="336">
      <c r="D336" s="309"/>
      <c r="E336" s="309"/>
      <c r="F336" s="309"/>
      <c r="G336" s="309"/>
      <c r="H336" s="309"/>
      <c r="I336" s="309"/>
    </row>
    <row r="337">
      <c r="D337" s="309"/>
      <c r="E337" s="309"/>
      <c r="F337" s="309"/>
      <c r="G337" s="309"/>
      <c r="H337" s="309"/>
      <c r="I337" s="309"/>
    </row>
    <row r="338">
      <c r="D338" s="309"/>
      <c r="E338" s="309"/>
      <c r="F338" s="309"/>
      <c r="G338" s="309"/>
      <c r="H338" s="309"/>
      <c r="I338" s="309"/>
    </row>
    <row r="339">
      <c r="D339" s="309"/>
      <c r="E339" s="309"/>
      <c r="F339" s="309"/>
      <c r="G339" s="309"/>
      <c r="H339" s="309"/>
      <c r="I339" s="309"/>
    </row>
    <row r="340">
      <c r="D340" s="309"/>
      <c r="E340" s="309"/>
      <c r="F340" s="309"/>
      <c r="G340" s="309"/>
      <c r="H340" s="309"/>
      <c r="I340" s="309"/>
    </row>
    <row r="341">
      <c r="D341" s="309"/>
      <c r="E341" s="309"/>
      <c r="F341" s="309"/>
      <c r="G341" s="309"/>
      <c r="H341" s="309"/>
      <c r="I341" s="309"/>
    </row>
    <row r="342">
      <c r="D342" s="309"/>
      <c r="E342" s="309"/>
      <c r="F342" s="309"/>
      <c r="G342" s="309"/>
      <c r="H342" s="309"/>
      <c r="I342" s="309"/>
    </row>
    <row r="343">
      <c r="D343" s="309"/>
      <c r="E343" s="309"/>
      <c r="F343" s="309"/>
      <c r="G343" s="309"/>
      <c r="H343" s="309"/>
      <c r="I343" s="309"/>
    </row>
    <row r="344">
      <c r="D344" s="309"/>
      <c r="E344" s="309"/>
      <c r="F344" s="309"/>
      <c r="G344" s="309"/>
      <c r="H344" s="309"/>
      <c r="I344" s="309"/>
    </row>
    <row r="345">
      <c r="D345" s="309"/>
      <c r="E345" s="309"/>
      <c r="F345" s="309"/>
      <c r="G345" s="309"/>
      <c r="H345" s="309"/>
      <c r="I345" s="309"/>
    </row>
    <row r="346">
      <c r="D346" s="309"/>
      <c r="E346" s="309"/>
      <c r="F346" s="309"/>
      <c r="G346" s="309"/>
      <c r="H346" s="309"/>
      <c r="I346" s="309"/>
    </row>
    <row r="347">
      <c r="D347" s="309"/>
      <c r="E347" s="309"/>
      <c r="F347" s="309"/>
      <c r="G347" s="309"/>
      <c r="H347" s="309"/>
      <c r="I347" s="309"/>
    </row>
    <row r="348">
      <c r="D348" s="309"/>
      <c r="E348" s="309"/>
      <c r="F348" s="309"/>
      <c r="G348" s="309"/>
      <c r="H348" s="309"/>
      <c r="I348" s="309"/>
    </row>
    <row r="349">
      <c r="D349" s="309"/>
      <c r="E349" s="309"/>
      <c r="F349" s="309"/>
      <c r="G349" s="309"/>
      <c r="H349" s="309"/>
      <c r="I349" s="309"/>
    </row>
    <row r="350">
      <c r="D350" s="309"/>
      <c r="E350" s="309"/>
      <c r="F350" s="309"/>
      <c r="G350" s="309"/>
      <c r="H350" s="309"/>
      <c r="I350" s="309"/>
    </row>
    <row r="351">
      <c r="D351" s="309"/>
      <c r="E351" s="309"/>
      <c r="F351" s="309"/>
      <c r="G351" s="309"/>
      <c r="H351" s="309"/>
      <c r="I351" s="309"/>
    </row>
    <row r="352">
      <c r="D352" s="309"/>
      <c r="E352" s="309"/>
      <c r="F352" s="309"/>
      <c r="G352" s="309"/>
      <c r="H352" s="309"/>
      <c r="I352" s="309"/>
    </row>
    <row r="353">
      <c r="D353" s="309"/>
      <c r="E353" s="309"/>
      <c r="F353" s="309"/>
      <c r="G353" s="309"/>
      <c r="H353" s="309"/>
      <c r="I353" s="309"/>
    </row>
    <row r="354">
      <c r="D354" s="309"/>
      <c r="E354" s="309"/>
      <c r="F354" s="309"/>
      <c r="G354" s="309"/>
      <c r="H354" s="309"/>
      <c r="I354" s="309"/>
    </row>
    <row r="355">
      <c r="D355" s="309"/>
      <c r="E355" s="309"/>
      <c r="F355" s="309"/>
      <c r="G355" s="309"/>
      <c r="H355" s="309"/>
      <c r="I355" s="309"/>
    </row>
    <row r="356">
      <c r="D356" s="309"/>
      <c r="E356" s="309"/>
      <c r="F356" s="309"/>
      <c r="G356" s="309"/>
      <c r="H356" s="309"/>
      <c r="I356" s="309"/>
    </row>
    <row r="357">
      <c r="D357" s="309"/>
      <c r="E357" s="309"/>
      <c r="F357" s="309"/>
      <c r="G357" s="309"/>
      <c r="H357" s="309"/>
      <c r="I357" s="309"/>
    </row>
    <row r="358">
      <c r="D358" s="309"/>
      <c r="E358" s="309"/>
      <c r="F358" s="309"/>
      <c r="G358" s="309"/>
      <c r="H358" s="309"/>
      <c r="I358" s="309"/>
    </row>
    <row r="359">
      <c r="D359" s="309"/>
      <c r="E359" s="309"/>
      <c r="F359" s="309"/>
      <c r="G359" s="309"/>
      <c r="H359" s="309"/>
      <c r="I359" s="309"/>
    </row>
    <row r="360">
      <c r="D360" s="309"/>
      <c r="E360" s="309"/>
      <c r="F360" s="309"/>
      <c r="G360" s="309"/>
      <c r="H360" s="309"/>
      <c r="I360" s="309"/>
    </row>
    <row r="361">
      <c r="D361" s="309"/>
      <c r="E361" s="309"/>
      <c r="F361" s="309"/>
      <c r="G361" s="309"/>
      <c r="H361" s="309"/>
      <c r="I361" s="309"/>
    </row>
    <row r="362">
      <c r="D362" s="309"/>
      <c r="E362" s="309"/>
      <c r="F362" s="309"/>
      <c r="G362" s="309"/>
      <c r="H362" s="309"/>
      <c r="I362" s="309"/>
    </row>
    <row r="363">
      <c r="D363" s="309"/>
      <c r="E363" s="309"/>
      <c r="F363" s="309"/>
      <c r="G363" s="309"/>
      <c r="H363" s="309"/>
      <c r="I363" s="309"/>
    </row>
    <row r="364">
      <c r="D364" s="309"/>
      <c r="E364" s="309"/>
      <c r="F364" s="309"/>
      <c r="G364" s="309"/>
      <c r="H364" s="309"/>
      <c r="I364" s="309"/>
    </row>
    <row r="365">
      <c r="D365" s="309"/>
      <c r="E365" s="309"/>
      <c r="F365" s="309"/>
      <c r="G365" s="309"/>
      <c r="H365" s="309"/>
      <c r="I365" s="309"/>
    </row>
    <row r="366">
      <c r="D366" s="309"/>
      <c r="E366" s="309"/>
      <c r="F366" s="309"/>
      <c r="G366" s="309"/>
      <c r="H366" s="309"/>
      <c r="I366" s="309"/>
    </row>
    <row r="367">
      <c r="D367" s="309"/>
      <c r="E367" s="309"/>
      <c r="F367" s="309"/>
      <c r="G367" s="309"/>
      <c r="H367" s="309"/>
      <c r="I367" s="309"/>
    </row>
    <row r="368">
      <c r="D368" s="309"/>
      <c r="E368" s="309"/>
      <c r="F368" s="309"/>
      <c r="G368" s="309"/>
      <c r="H368" s="309"/>
      <c r="I368" s="309"/>
    </row>
    <row r="369">
      <c r="D369" s="309"/>
      <c r="E369" s="309"/>
      <c r="F369" s="309"/>
      <c r="G369" s="309"/>
      <c r="H369" s="309"/>
      <c r="I369" s="309"/>
    </row>
    <row r="370">
      <c r="D370" s="309"/>
      <c r="E370" s="309"/>
      <c r="F370" s="309"/>
      <c r="G370" s="309"/>
      <c r="H370" s="309"/>
      <c r="I370" s="309"/>
    </row>
    <row r="371">
      <c r="D371" s="309"/>
      <c r="E371" s="309"/>
      <c r="F371" s="309"/>
      <c r="G371" s="309"/>
      <c r="H371" s="309"/>
      <c r="I371" s="309"/>
    </row>
    <row r="372">
      <c r="D372" s="309"/>
      <c r="E372" s="309"/>
      <c r="F372" s="309"/>
      <c r="G372" s="309"/>
      <c r="H372" s="309"/>
      <c r="I372" s="309"/>
    </row>
    <row r="373">
      <c r="D373" s="309"/>
      <c r="E373" s="309"/>
      <c r="F373" s="309"/>
      <c r="G373" s="309"/>
      <c r="H373" s="309"/>
      <c r="I373" s="309"/>
    </row>
    <row r="374">
      <c r="D374" s="309"/>
      <c r="E374" s="309"/>
      <c r="F374" s="309"/>
      <c r="G374" s="309"/>
      <c r="H374" s="309"/>
      <c r="I374" s="309"/>
    </row>
    <row r="375">
      <c r="D375" s="309"/>
      <c r="E375" s="309"/>
      <c r="F375" s="309"/>
      <c r="G375" s="309"/>
      <c r="H375" s="309"/>
      <c r="I375" s="309"/>
    </row>
    <row r="376">
      <c r="D376" s="309"/>
      <c r="E376" s="309"/>
      <c r="F376" s="309"/>
      <c r="G376" s="309"/>
      <c r="H376" s="309"/>
      <c r="I376" s="309"/>
    </row>
    <row r="377">
      <c r="D377" s="309"/>
      <c r="E377" s="309"/>
      <c r="F377" s="309"/>
      <c r="G377" s="309"/>
      <c r="H377" s="309"/>
      <c r="I377" s="309"/>
    </row>
    <row r="378">
      <c r="D378" s="309"/>
      <c r="E378" s="309"/>
      <c r="F378" s="309"/>
      <c r="G378" s="309"/>
      <c r="H378" s="309"/>
      <c r="I378" s="309"/>
    </row>
    <row r="379">
      <c r="D379" s="309"/>
      <c r="E379" s="309"/>
      <c r="F379" s="309"/>
      <c r="G379" s="309"/>
      <c r="H379" s="309"/>
      <c r="I379" s="309"/>
    </row>
    <row r="380">
      <c r="D380" s="309"/>
      <c r="E380" s="309"/>
      <c r="F380" s="309"/>
      <c r="G380" s="309"/>
      <c r="H380" s="309"/>
      <c r="I380" s="309"/>
    </row>
    <row r="381">
      <c r="D381" s="309"/>
      <c r="E381" s="309"/>
      <c r="F381" s="309"/>
      <c r="G381" s="309"/>
      <c r="H381" s="309"/>
      <c r="I381" s="309"/>
    </row>
    <row r="382">
      <c r="D382" s="309"/>
      <c r="E382" s="309"/>
      <c r="F382" s="309"/>
      <c r="G382" s="309"/>
      <c r="H382" s="309"/>
      <c r="I382" s="309"/>
    </row>
    <row r="383">
      <c r="D383" s="309"/>
      <c r="E383" s="309"/>
      <c r="F383" s="309"/>
      <c r="G383" s="309"/>
      <c r="H383" s="309"/>
      <c r="I383" s="309"/>
    </row>
    <row r="384">
      <c r="D384" s="309"/>
      <c r="E384" s="309"/>
      <c r="F384" s="309"/>
      <c r="G384" s="309"/>
      <c r="H384" s="309"/>
      <c r="I384" s="309"/>
    </row>
    <row r="385">
      <c r="D385" s="309"/>
      <c r="E385" s="309"/>
      <c r="F385" s="309"/>
      <c r="G385" s="309"/>
      <c r="H385" s="309"/>
      <c r="I385" s="309"/>
    </row>
    <row r="386">
      <c r="D386" s="309"/>
      <c r="E386" s="309"/>
      <c r="F386" s="309"/>
      <c r="G386" s="309"/>
      <c r="H386" s="309"/>
      <c r="I386" s="309"/>
    </row>
    <row r="387">
      <c r="D387" s="309"/>
      <c r="E387" s="309"/>
      <c r="F387" s="309"/>
      <c r="G387" s="309"/>
      <c r="H387" s="309"/>
      <c r="I387" s="309"/>
    </row>
    <row r="388">
      <c r="D388" s="309"/>
      <c r="E388" s="309"/>
      <c r="F388" s="309"/>
      <c r="G388" s="309"/>
      <c r="H388" s="309"/>
      <c r="I388" s="309"/>
    </row>
    <row r="389">
      <c r="D389" s="309"/>
      <c r="E389" s="309"/>
      <c r="F389" s="309"/>
      <c r="G389" s="309"/>
      <c r="H389" s="309"/>
      <c r="I389" s="309"/>
    </row>
    <row r="390">
      <c r="D390" s="309"/>
      <c r="E390" s="309"/>
      <c r="F390" s="309"/>
      <c r="G390" s="309"/>
      <c r="H390" s="309"/>
      <c r="I390" s="309"/>
    </row>
    <row r="391">
      <c r="D391" s="309"/>
      <c r="E391" s="309"/>
      <c r="F391" s="309"/>
      <c r="G391" s="309"/>
      <c r="H391" s="309"/>
      <c r="I391" s="309"/>
    </row>
    <row r="392">
      <c r="D392" s="309"/>
      <c r="E392" s="309"/>
      <c r="F392" s="309"/>
      <c r="G392" s="309"/>
      <c r="H392" s="309"/>
      <c r="I392" s="309"/>
    </row>
    <row r="393">
      <c r="D393" s="309"/>
      <c r="E393" s="309"/>
      <c r="F393" s="309"/>
      <c r="G393" s="309"/>
      <c r="H393" s="309"/>
      <c r="I393" s="309"/>
    </row>
    <row r="394">
      <c r="D394" s="309"/>
      <c r="E394" s="309"/>
      <c r="F394" s="309"/>
      <c r="G394" s="309"/>
      <c r="H394" s="309"/>
      <c r="I394" s="309"/>
    </row>
    <row r="395">
      <c r="D395" s="309"/>
      <c r="E395" s="309"/>
      <c r="F395" s="309"/>
      <c r="G395" s="309"/>
      <c r="H395" s="309"/>
      <c r="I395" s="309"/>
    </row>
    <row r="396">
      <c r="D396" s="309"/>
      <c r="E396" s="309"/>
      <c r="F396" s="309"/>
      <c r="G396" s="309"/>
      <c r="H396" s="309"/>
      <c r="I396" s="309"/>
    </row>
    <row r="397">
      <c r="D397" s="309"/>
      <c r="E397" s="309"/>
      <c r="F397" s="309"/>
      <c r="G397" s="309"/>
      <c r="H397" s="309"/>
      <c r="I397" s="309"/>
    </row>
    <row r="398">
      <c r="D398" s="309"/>
      <c r="E398" s="309"/>
      <c r="F398" s="309"/>
      <c r="G398" s="309"/>
      <c r="H398" s="309"/>
      <c r="I398" s="309"/>
    </row>
    <row r="399">
      <c r="D399" s="309"/>
      <c r="E399" s="309"/>
      <c r="F399" s="309"/>
      <c r="G399" s="309"/>
      <c r="H399" s="309"/>
      <c r="I399" s="309"/>
    </row>
    <row r="400">
      <c r="D400" s="309"/>
      <c r="E400" s="309"/>
      <c r="F400" s="309"/>
      <c r="G400" s="309"/>
      <c r="H400" s="309"/>
      <c r="I400" s="309"/>
    </row>
    <row r="401">
      <c r="D401" s="309"/>
      <c r="E401" s="309"/>
      <c r="F401" s="309"/>
      <c r="G401" s="309"/>
      <c r="H401" s="309"/>
      <c r="I401" s="309"/>
    </row>
    <row r="402">
      <c r="D402" s="309"/>
      <c r="E402" s="309"/>
      <c r="F402" s="309"/>
      <c r="G402" s="309"/>
      <c r="H402" s="309"/>
      <c r="I402" s="309"/>
    </row>
    <row r="403">
      <c r="D403" s="309"/>
      <c r="E403" s="309"/>
      <c r="F403" s="309"/>
      <c r="G403" s="309"/>
      <c r="H403" s="309"/>
      <c r="I403" s="309"/>
    </row>
    <row r="404">
      <c r="D404" s="309"/>
      <c r="E404" s="309"/>
      <c r="F404" s="309"/>
      <c r="G404" s="309"/>
      <c r="H404" s="309"/>
      <c r="I404" s="309"/>
    </row>
    <row r="405">
      <c r="D405" s="309"/>
      <c r="E405" s="309"/>
      <c r="F405" s="309"/>
      <c r="G405" s="309"/>
      <c r="H405" s="309"/>
      <c r="I405" s="309"/>
    </row>
    <row r="406">
      <c r="D406" s="309"/>
      <c r="E406" s="309"/>
      <c r="F406" s="309"/>
      <c r="G406" s="309"/>
      <c r="H406" s="309"/>
      <c r="I406" s="309"/>
    </row>
    <row r="407">
      <c r="D407" s="309"/>
      <c r="E407" s="309"/>
      <c r="F407" s="309"/>
      <c r="G407" s="309"/>
      <c r="H407" s="309"/>
      <c r="I407" s="309"/>
    </row>
    <row r="408">
      <c r="D408" s="309"/>
      <c r="E408" s="309"/>
      <c r="F408" s="309"/>
      <c r="G408" s="309"/>
      <c r="H408" s="309"/>
      <c r="I408" s="309"/>
    </row>
    <row r="409">
      <c r="D409" s="309"/>
      <c r="E409" s="309"/>
      <c r="F409" s="309"/>
      <c r="G409" s="309"/>
      <c r="H409" s="309"/>
      <c r="I409" s="309"/>
    </row>
    <row r="410">
      <c r="D410" s="309"/>
      <c r="E410" s="309"/>
      <c r="F410" s="309"/>
      <c r="G410" s="309"/>
      <c r="H410" s="309"/>
      <c r="I410" s="309"/>
    </row>
    <row r="411">
      <c r="D411" s="309"/>
      <c r="E411" s="309"/>
      <c r="F411" s="309"/>
      <c r="G411" s="309"/>
      <c r="H411" s="309"/>
      <c r="I411" s="309"/>
    </row>
    <row r="412">
      <c r="D412" s="309"/>
      <c r="E412" s="309"/>
      <c r="F412" s="309"/>
      <c r="G412" s="309"/>
      <c r="H412" s="309"/>
      <c r="I412" s="309"/>
    </row>
    <row r="413">
      <c r="D413" s="309"/>
      <c r="E413" s="309"/>
      <c r="F413" s="309"/>
      <c r="G413" s="309"/>
      <c r="H413" s="309"/>
      <c r="I413" s="309"/>
    </row>
    <row r="414">
      <c r="D414" s="309"/>
      <c r="E414" s="309"/>
      <c r="F414" s="309"/>
      <c r="G414" s="309"/>
      <c r="H414" s="309"/>
      <c r="I414" s="309"/>
    </row>
    <row r="415">
      <c r="D415" s="309"/>
      <c r="E415" s="309"/>
      <c r="F415" s="309"/>
      <c r="G415" s="309"/>
      <c r="H415" s="309"/>
      <c r="I415" s="309"/>
    </row>
    <row r="416">
      <c r="D416" s="309"/>
      <c r="E416" s="309"/>
      <c r="F416" s="309"/>
      <c r="G416" s="309"/>
      <c r="H416" s="309"/>
      <c r="I416" s="309"/>
    </row>
    <row r="417">
      <c r="D417" s="309"/>
      <c r="E417" s="309"/>
      <c r="F417" s="309"/>
      <c r="G417" s="309"/>
      <c r="H417" s="309"/>
      <c r="I417" s="309"/>
    </row>
    <row r="418">
      <c r="D418" s="309"/>
      <c r="E418" s="309"/>
      <c r="F418" s="309"/>
      <c r="G418" s="309"/>
      <c r="H418" s="309"/>
      <c r="I418" s="309"/>
    </row>
    <row r="419">
      <c r="D419" s="309"/>
      <c r="E419" s="309"/>
      <c r="F419" s="309"/>
      <c r="G419" s="309"/>
      <c r="H419" s="309"/>
      <c r="I419" s="309"/>
    </row>
    <row r="420">
      <c r="D420" s="309"/>
      <c r="E420" s="309"/>
      <c r="F420" s="309"/>
      <c r="G420" s="309"/>
      <c r="H420" s="309"/>
      <c r="I420" s="309"/>
    </row>
    <row r="421">
      <c r="D421" s="309"/>
      <c r="E421" s="309"/>
      <c r="F421" s="309"/>
      <c r="G421" s="309"/>
      <c r="H421" s="309"/>
      <c r="I421" s="309"/>
    </row>
    <row r="422">
      <c r="D422" s="309"/>
      <c r="E422" s="309"/>
      <c r="F422" s="309"/>
      <c r="G422" s="309"/>
      <c r="H422" s="309"/>
      <c r="I422" s="309"/>
    </row>
    <row r="423">
      <c r="D423" s="309"/>
      <c r="E423" s="309"/>
      <c r="F423" s="309"/>
      <c r="G423" s="309"/>
      <c r="H423" s="309"/>
      <c r="I423" s="309"/>
    </row>
    <row r="424">
      <c r="D424" s="309"/>
      <c r="E424" s="309"/>
      <c r="F424" s="309"/>
      <c r="G424" s="309"/>
      <c r="H424" s="309"/>
      <c r="I424" s="309"/>
    </row>
    <row r="425">
      <c r="D425" s="309"/>
      <c r="E425" s="309"/>
      <c r="F425" s="309"/>
      <c r="G425" s="309"/>
      <c r="H425" s="309"/>
      <c r="I425" s="309"/>
    </row>
    <row r="426">
      <c r="D426" s="309"/>
      <c r="E426" s="309"/>
      <c r="F426" s="309"/>
      <c r="G426" s="309"/>
      <c r="H426" s="309"/>
      <c r="I426" s="309"/>
    </row>
    <row r="427">
      <c r="D427" s="309"/>
      <c r="E427" s="309"/>
      <c r="F427" s="309"/>
      <c r="G427" s="309"/>
      <c r="H427" s="309"/>
      <c r="I427" s="309"/>
    </row>
    <row r="428">
      <c r="D428" s="309"/>
      <c r="E428" s="309"/>
      <c r="F428" s="309"/>
      <c r="G428" s="309"/>
      <c r="H428" s="309"/>
      <c r="I428" s="309"/>
    </row>
    <row r="429">
      <c r="D429" s="309"/>
      <c r="E429" s="309"/>
      <c r="F429" s="309"/>
      <c r="G429" s="309"/>
      <c r="H429" s="309"/>
      <c r="I429" s="309"/>
    </row>
    <row r="430">
      <c r="D430" s="309"/>
      <c r="E430" s="309"/>
      <c r="F430" s="309"/>
      <c r="G430" s="309"/>
      <c r="H430" s="309"/>
      <c r="I430" s="309"/>
    </row>
    <row r="431">
      <c r="D431" s="309"/>
      <c r="E431" s="309"/>
      <c r="F431" s="309"/>
      <c r="G431" s="309"/>
      <c r="H431" s="309"/>
      <c r="I431" s="309"/>
    </row>
    <row r="432">
      <c r="D432" s="309"/>
      <c r="E432" s="309"/>
      <c r="F432" s="309"/>
      <c r="G432" s="309"/>
      <c r="H432" s="309"/>
      <c r="I432" s="309"/>
    </row>
    <row r="433">
      <c r="D433" s="309"/>
      <c r="E433" s="309"/>
      <c r="F433" s="309"/>
      <c r="G433" s="309"/>
      <c r="H433" s="309"/>
      <c r="I433" s="309"/>
    </row>
    <row r="434">
      <c r="D434" s="309"/>
      <c r="E434" s="309"/>
      <c r="F434" s="309"/>
      <c r="G434" s="309"/>
      <c r="H434" s="309"/>
      <c r="I434" s="309"/>
    </row>
    <row r="435">
      <c r="D435" s="309"/>
      <c r="E435" s="309"/>
      <c r="F435" s="309"/>
      <c r="G435" s="309"/>
      <c r="H435" s="309"/>
      <c r="I435" s="309"/>
    </row>
    <row r="436">
      <c r="D436" s="309"/>
      <c r="E436" s="309"/>
      <c r="F436" s="309"/>
      <c r="G436" s="309"/>
      <c r="H436" s="309"/>
      <c r="I436" s="309"/>
    </row>
    <row r="437">
      <c r="D437" s="309"/>
      <c r="E437" s="309"/>
      <c r="F437" s="309"/>
      <c r="G437" s="309"/>
      <c r="H437" s="309"/>
      <c r="I437" s="309"/>
    </row>
    <row r="438">
      <c r="D438" s="309"/>
      <c r="E438" s="309"/>
      <c r="F438" s="309"/>
      <c r="G438" s="309"/>
      <c r="H438" s="309"/>
      <c r="I438" s="309"/>
    </row>
    <row r="439">
      <c r="D439" s="309"/>
      <c r="E439" s="309"/>
      <c r="F439" s="309"/>
      <c r="G439" s="309"/>
      <c r="H439" s="309"/>
      <c r="I439" s="309"/>
    </row>
    <row r="440">
      <c r="D440" s="309"/>
      <c r="E440" s="309"/>
      <c r="F440" s="309"/>
      <c r="G440" s="309"/>
      <c r="H440" s="309"/>
      <c r="I440" s="309"/>
    </row>
    <row r="441">
      <c r="D441" s="309"/>
      <c r="E441" s="309"/>
      <c r="F441" s="309"/>
      <c r="G441" s="309"/>
      <c r="H441" s="309"/>
      <c r="I441" s="309"/>
    </row>
    <row r="442">
      <c r="D442" s="309"/>
      <c r="E442" s="309"/>
      <c r="F442" s="309"/>
      <c r="G442" s="309"/>
      <c r="H442" s="309"/>
      <c r="I442" s="309"/>
    </row>
    <row r="443">
      <c r="D443" s="309"/>
      <c r="E443" s="309"/>
      <c r="F443" s="309"/>
      <c r="G443" s="309"/>
      <c r="H443" s="309"/>
      <c r="I443" s="309"/>
    </row>
    <row r="444">
      <c r="D444" s="309"/>
      <c r="E444" s="309"/>
      <c r="F444" s="309"/>
      <c r="G444" s="309"/>
      <c r="H444" s="309"/>
      <c r="I444" s="309"/>
    </row>
    <row r="445">
      <c r="D445" s="309"/>
      <c r="E445" s="309"/>
      <c r="F445" s="309"/>
      <c r="G445" s="309"/>
      <c r="H445" s="309"/>
      <c r="I445" s="309"/>
    </row>
    <row r="446">
      <c r="D446" s="309"/>
      <c r="E446" s="309"/>
      <c r="F446" s="309"/>
      <c r="G446" s="309"/>
      <c r="H446" s="309"/>
      <c r="I446" s="309"/>
    </row>
    <row r="447">
      <c r="D447" s="309"/>
      <c r="E447" s="309"/>
      <c r="F447" s="309"/>
      <c r="G447" s="309"/>
      <c r="H447" s="309"/>
      <c r="I447" s="309"/>
    </row>
    <row r="448">
      <c r="D448" s="309"/>
      <c r="E448" s="309"/>
      <c r="F448" s="309"/>
      <c r="G448" s="309"/>
      <c r="H448" s="309"/>
      <c r="I448" s="309"/>
    </row>
    <row r="449">
      <c r="D449" s="309"/>
      <c r="E449" s="309"/>
      <c r="F449" s="309"/>
      <c r="G449" s="309"/>
      <c r="H449" s="309"/>
      <c r="I449" s="309"/>
    </row>
    <row r="450">
      <c r="D450" s="309"/>
      <c r="E450" s="309"/>
      <c r="F450" s="309"/>
      <c r="G450" s="309"/>
      <c r="H450" s="309"/>
      <c r="I450" s="309"/>
    </row>
    <row r="451">
      <c r="D451" s="309"/>
      <c r="E451" s="309"/>
      <c r="F451" s="309"/>
      <c r="G451" s="309"/>
      <c r="H451" s="309"/>
      <c r="I451" s="309"/>
    </row>
    <row r="452">
      <c r="D452" s="309"/>
      <c r="E452" s="309"/>
      <c r="F452" s="309"/>
      <c r="G452" s="309"/>
      <c r="H452" s="309"/>
      <c r="I452" s="309"/>
    </row>
    <row r="453">
      <c r="D453" s="309"/>
      <c r="E453" s="309"/>
      <c r="F453" s="309"/>
      <c r="G453" s="309"/>
      <c r="H453" s="309"/>
      <c r="I453" s="309"/>
    </row>
    <row r="454">
      <c r="D454" s="309"/>
      <c r="E454" s="309"/>
      <c r="F454" s="309"/>
      <c r="G454" s="309"/>
      <c r="H454" s="309"/>
      <c r="I454" s="309"/>
    </row>
    <row r="455">
      <c r="D455" s="309"/>
      <c r="E455" s="309"/>
      <c r="F455" s="309"/>
      <c r="G455" s="309"/>
      <c r="H455" s="309"/>
      <c r="I455" s="309"/>
    </row>
    <row r="456">
      <c r="D456" s="309"/>
      <c r="E456" s="309"/>
      <c r="F456" s="309"/>
      <c r="G456" s="309"/>
      <c r="H456" s="309"/>
      <c r="I456" s="309"/>
    </row>
    <row r="457">
      <c r="D457" s="309"/>
      <c r="E457" s="309"/>
      <c r="F457" s="309"/>
      <c r="G457" s="309"/>
      <c r="H457" s="309"/>
      <c r="I457" s="309"/>
    </row>
    <row r="458">
      <c r="D458" s="309"/>
      <c r="E458" s="309"/>
      <c r="F458" s="309"/>
      <c r="G458" s="309"/>
      <c r="H458" s="309"/>
      <c r="I458" s="309"/>
    </row>
    <row r="459">
      <c r="D459" s="309"/>
      <c r="E459" s="309"/>
      <c r="F459" s="309"/>
      <c r="G459" s="309"/>
      <c r="H459" s="309"/>
      <c r="I459" s="309"/>
    </row>
    <row r="460">
      <c r="D460" s="309"/>
      <c r="E460" s="309"/>
      <c r="F460" s="309"/>
      <c r="G460" s="309"/>
      <c r="H460" s="309"/>
      <c r="I460" s="309"/>
    </row>
    <row r="461">
      <c r="D461" s="309"/>
      <c r="E461" s="309"/>
      <c r="F461" s="309"/>
      <c r="G461" s="309"/>
      <c r="H461" s="309"/>
      <c r="I461" s="309"/>
    </row>
    <row r="462">
      <c r="D462" s="309"/>
      <c r="E462" s="309"/>
      <c r="F462" s="309"/>
      <c r="G462" s="309"/>
      <c r="H462" s="309"/>
      <c r="I462" s="309"/>
    </row>
    <row r="463">
      <c r="D463" s="309"/>
      <c r="E463" s="309"/>
      <c r="F463" s="309"/>
      <c r="G463" s="309"/>
      <c r="H463" s="309"/>
      <c r="I463" s="309"/>
    </row>
    <row r="464">
      <c r="D464" s="309"/>
      <c r="E464" s="309"/>
      <c r="F464" s="309"/>
      <c r="G464" s="309"/>
      <c r="H464" s="309"/>
      <c r="I464" s="309"/>
    </row>
    <row r="465">
      <c r="D465" s="309"/>
      <c r="E465" s="309"/>
      <c r="F465" s="309"/>
      <c r="G465" s="309"/>
      <c r="H465" s="309"/>
      <c r="I465" s="309"/>
    </row>
    <row r="466">
      <c r="D466" s="309"/>
      <c r="E466" s="309"/>
      <c r="F466" s="309"/>
      <c r="G466" s="309"/>
      <c r="H466" s="309"/>
      <c r="I466" s="309"/>
    </row>
    <row r="467">
      <c r="D467" s="309"/>
      <c r="E467" s="309"/>
      <c r="F467" s="309"/>
      <c r="G467" s="309"/>
      <c r="H467" s="309"/>
      <c r="I467" s="309"/>
    </row>
    <row r="468">
      <c r="D468" s="309"/>
      <c r="E468" s="309"/>
      <c r="F468" s="309"/>
      <c r="G468" s="309"/>
      <c r="H468" s="309"/>
      <c r="I468" s="309"/>
    </row>
    <row r="469">
      <c r="D469" s="309"/>
      <c r="E469" s="309"/>
      <c r="F469" s="309"/>
      <c r="G469" s="309"/>
      <c r="H469" s="309"/>
      <c r="I469" s="309"/>
    </row>
    <row r="470">
      <c r="D470" s="309"/>
      <c r="E470" s="309"/>
      <c r="F470" s="309"/>
      <c r="G470" s="309"/>
      <c r="H470" s="309"/>
      <c r="I470" s="309"/>
    </row>
    <row r="471">
      <c r="D471" s="309"/>
      <c r="E471" s="309"/>
      <c r="F471" s="309"/>
      <c r="G471" s="309"/>
      <c r="H471" s="309"/>
      <c r="I471" s="309"/>
    </row>
    <row r="472">
      <c r="D472" s="309"/>
      <c r="E472" s="309"/>
      <c r="F472" s="309"/>
      <c r="G472" s="309"/>
      <c r="H472" s="309"/>
      <c r="I472" s="309"/>
    </row>
    <row r="473">
      <c r="D473" s="309"/>
      <c r="E473" s="309"/>
      <c r="F473" s="309"/>
      <c r="G473" s="309"/>
      <c r="H473" s="309"/>
      <c r="I473" s="309"/>
    </row>
    <row r="474">
      <c r="D474" s="309"/>
      <c r="E474" s="309"/>
      <c r="F474" s="309"/>
      <c r="G474" s="309"/>
      <c r="H474" s="309"/>
      <c r="I474" s="309"/>
    </row>
    <row r="475">
      <c r="D475" s="309"/>
      <c r="E475" s="309"/>
      <c r="F475" s="309"/>
      <c r="G475" s="309"/>
      <c r="H475" s="309"/>
      <c r="I475" s="309"/>
    </row>
    <row r="476">
      <c r="D476" s="309"/>
      <c r="E476" s="309"/>
      <c r="F476" s="309"/>
      <c r="G476" s="309"/>
      <c r="H476" s="309"/>
      <c r="I476" s="309"/>
    </row>
    <row r="477">
      <c r="D477" s="309"/>
      <c r="E477" s="309"/>
      <c r="F477" s="309"/>
      <c r="G477" s="309"/>
      <c r="H477" s="309"/>
      <c r="I477" s="309"/>
    </row>
    <row r="478">
      <c r="D478" s="309"/>
      <c r="E478" s="309"/>
      <c r="F478" s="309"/>
      <c r="G478" s="309"/>
      <c r="H478" s="309"/>
      <c r="I478" s="309"/>
    </row>
    <row r="479">
      <c r="D479" s="309"/>
      <c r="E479" s="309"/>
      <c r="F479" s="309"/>
      <c r="G479" s="309"/>
      <c r="H479" s="309"/>
      <c r="I479" s="309"/>
    </row>
    <row r="480">
      <c r="D480" s="309"/>
      <c r="E480" s="309"/>
      <c r="F480" s="309"/>
      <c r="G480" s="309"/>
      <c r="H480" s="309"/>
      <c r="I480" s="309"/>
    </row>
    <row r="481">
      <c r="D481" s="309"/>
      <c r="E481" s="309"/>
      <c r="F481" s="309"/>
      <c r="G481" s="309"/>
      <c r="H481" s="309"/>
      <c r="I481" s="309"/>
    </row>
    <row r="482">
      <c r="D482" s="309"/>
      <c r="E482" s="309"/>
      <c r="F482" s="309"/>
      <c r="G482" s="309"/>
      <c r="H482" s="309"/>
      <c r="I482" s="309"/>
    </row>
    <row r="483">
      <c r="D483" s="309"/>
      <c r="E483" s="309"/>
      <c r="F483" s="309"/>
      <c r="G483" s="309"/>
      <c r="H483" s="309"/>
      <c r="I483" s="309"/>
    </row>
    <row r="484">
      <c r="D484" s="309"/>
      <c r="E484" s="309"/>
      <c r="F484" s="309"/>
      <c r="G484" s="309"/>
      <c r="H484" s="309"/>
      <c r="I484" s="309"/>
    </row>
    <row r="485">
      <c r="D485" s="309"/>
      <c r="E485" s="309"/>
      <c r="F485" s="309"/>
      <c r="G485" s="309"/>
      <c r="H485" s="309"/>
      <c r="I485" s="309"/>
    </row>
    <row r="486">
      <c r="D486" s="309"/>
      <c r="E486" s="309"/>
      <c r="F486" s="309"/>
      <c r="G486" s="309"/>
      <c r="H486" s="309"/>
      <c r="I486" s="309"/>
    </row>
    <row r="487">
      <c r="D487" s="309"/>
      <c r="E487" s="309"/>
      <c r="F487" s="309"/>
      <c r="G487" s="309"/>
      <c r="H487" s="309"/>
      <c r="I487" s="309"/>
    </row>
    <row r="488">
      <c r="D488" s="309"/>
      <c r="E488" s="309"/>
      <c r="F488" s="309"/>
      <c r="G488" s="309"/>
      <c r="H488" s="309"/>
      <c r="I488" s="309"/>
    </row>
    <row r="489">
      <c r="D489" s="309"/>
      <c r="E489" s="309"/>
      <c r="F489" s="309"/>
      <c r="G489" s="309"/>
      <c r="H489" s="309"/>
      <c r="I489" s="309"/>
    </row>
    <row r="490">
      <c r="D490" s="309"/>
      <c r="E490" s="309"/>
      <c r="F490" s="309"/>
      <c r="G490" s="309"/>
      <c r="H490" s="309"/>
      <c r="I490" s="309"/>
    </row>
    <row r="491">
      <c r="D491" s="309"/>
      <c r="E491" s="309"/>
      <c r="F491" s="309"/>
      <c r="G491" s="309"/>
      <c r="H491" s="309"/>
      <c r="I491" s="309"/>
    </row>
    <row r="492">
      <c r="D492" s="309"/>
      <c r="E492" s="309"/>
      <c r="F492" s="309"/>
      <c r="G492" s="309"/>
      <c r="H492" s="309"/>
      <c r="I492" s="309"/>
    </row>
    <row r="493">
      <c r="D493" s="309"/>
      <c r="E493" s="309"/>
      <c r="F493" s="309"/>
      <c r="G493" s="309"/>
      <c r="H493" s="309"/>
      <c r="I493" s="309"/>
    </row>
    <row r="494">
      <c r="D494" s="309"/>
      <c r="E494" s="309"/>
      <c r="F494" s="309"/>
      <c r="G494" s="309"/>
      <c r="H494" s="309"/>
      <c r="I494" s="309"/>
    </row>
    <row r="495">
      <c r="D495" s="309"/>
      <c r="E495" s="309"/>
      <c r="F495" s="309"/>
      <c r="G495" s="309"/>
      <c r="H495" s="309"/>
      <c r="I495" s="309"/>
    </row>
    <row r="496">
      <c r="D496" s="309"/>
      <c r="E496" s="309"/>
      <c r="F496" s="309"/>
      <c r="G496" s="309"/>
      <c r="H496" s="309"/>
      <c r="I496" s="309"/>
    </row>
    <row r="497">
      <c r="D497" s="309"/>
      <c r="E497" s="309"/>
      <c r="F497" s="309"/>
      <c r="G497" s="309"/>
      <c r="H497" s="309"/>
      <c r="I497" s="309"/>
    </row>
    <row r="498">
      <c r="D498" s="309"/>
      <c r="E498" s="309"/>
      <c r="F498" s="309"/>
      <c r="G498" s="309"/>
      <c r="H498" s="309"/>
      <c r="I498" s="309"/>
    </row>
    <row r="499">
      <c r="D499" s="309"/>
      <c r="E499" s="309"/>
      <c r="F499" s="309"/>
      <c r="G499" s="309"/>
      <c r="H499" s="309"/>
      <c r="I499" s="309"/>
    </row>
    <row r="500">
      <c r="D500" s="309"/>
      <c r="E500" s="309"/>
      <c r="F500" s="309"/>
      <c r="G500" s="309"/>
      <c r="H500" s="309"/>
      <c r="I500" s="309"/>
    </row>
    <row r="501">
      <c r="D501" s="309"/>
      <c r="E501" s="309"/>
      <c r="F501" s="309"/>
      <c r="G501" s="309"/>
      <c r="H501" s="309"/>
      <c r="I501" s="309"/>
    </row>
    <row r="502">
      <c r="D502" s="309"/>
      <c r="E502" s="309"/>
      <c r="F502" s="309"/>
      <c r="G502" s="309"/>
      <c r="H502" s="309"/>
      <c r="I502" s="309"/>
    </row>
    <row r="503">
      <c r="D503" s="309"/>
      <c r="E503" s="309"/>
      <c r="F503" s="309"/>
      <c r="G503" s="309"/>
      <c r="H503" s="309"/>
      <c r="I503" s="309"/>
    </row>
    <row r="504">
      <c r="D504" s="309"/>
      <c r="E504" s="309"/>
      <c r="F504" s="309"/>
      <c r="G504" s="309"/>
      <c r="H504" s="309"/>
      <c r="I504" s="309"/>
    </row>
    <row r="505">
      <c r="D505" s="309"/>
      <c r="E505" s="309"/>
      <c r="F505" s="309"/>
      <c r="G505" s="309"/>
      <c r="H505" s="309"/>
      <c r="I505" s="309"/>
    </row>
    <row r="506">
      <c r="D506" s="309"/>
      <c r="E506" s="309"/>
      <c r="F506" s="309"/>
      <c r="G506" s="309"/>
      <c r="H506" s="309"/>
      <c r="I506" s="309"/>
    </row>
    <row r="507">
      <c r="D507" s="309"/>
      <c r="E507" s="309"/>
      <c r="F507" s="309"/>
      <c r="G507" s="309"/>
      <c r="H507" s="309"/>
      <c r="I507" s="309"/>
    </row>
    <row r="508">
      <c r="D508" s="309"/>
      <c r="E508" s="309"/>
      <c r="F508" s="309"/>
      <c r="G508" s="309"/>
      <c r="H508" s="309"/>
      <c r="I508" s="309"/>
    </row>
    <row r="509">
      <c r="D509" s="309"/>
      <c r="E509" s="309"/>
      <c r="F509" s="309"/>
      <c r="G509" s="309"/>
      <c r="H509" s="309"/>
      <c r="I509" s="309"/>
    </row>
    <row r="510">
      <c r="D510" s="309"/>
      <c r="E510" s="309"/>
      <c r="F510" s="309"/>
      <c r="G510" s="309"/>
      <c r="H510" s="309"/>
      <c r="I510" s="309"/>
    </row>
    <row r="511">
      <c r="D511" s="309"/>
      <c r="E511" s="309"/>
      <c r="F511" s="309"/>
      <c r="G511" s="309"/>
      <c r="H511" s="309"/>
      <c r="I511" s="309"/>
    </row>
    <row r="512">
      <c r="D512" s="309"/>
      <c r="E512" s="309"/>
      <c r="F512" s="309"/>
      <c r="G512" s="309"/>
      <c r="H512" s="309"/>
      <c r="I512" s="309"/>
    </row>
    <row r="513">
      <c r="D513" s="309"/>
      <c r="E513" s="309"/>
      <c r="F513" s="309"/>
      <c r="G513" s="309"/>
      <c r="H513" s="309"/>
      <c r="I513" s="309"/>
    </row>
    <row r="514">
      <c r="D514" s="309"/>
      <c r="E514" s="309"/>
      <c r="F514" s="309"/>
      <c r="G514" s="309"/>
      <c r="H514" s="309"/>
      <c r="I514" s="309"/>
    </row>
    <row r="515">
      <c r="D515" s="309"/>
      <c r="E515" s="309"/>
      <c r="F515" s="309"/>
      <c r="G515" s="309"/>
      <c r="H515" s="309"/>
      <c r="I515" s="309"/>
    </row>
    <row r="516">
      <c r="D516" s="309"/>
      <c r="E516" s="309"/>
      <c r="F516" s="309"/>
      <c r="G516" s="309"/>
      <c r="H516" s="309"/>
      <c r="I516" s="309"/>
    </row>
    <row r="517">
      <c r="D517" s="309"/>
      <c r="E517" s="309"/>
      <c r="F517" s="309"/>
      <c r="G517" s="309"/>
      <c r="H517" s="309"/>
      <c r="I517" s="309"/>
    </row>
    <row r="518">
      <c r="D518" s="309"/>
      <c r="E518" s="309"/>
      <c r="F518" s="309"/>
      <c r="G518" s="309"/>
      <c r="H518" s="309"/>
      <c r="I518" s="309"/>
    </row>
    <row r="519">
      <c r="D519" s="309"/>
      <c r="E519" s="309"/>
      <c r="F519" s="309"/>
      <c r="G519" s="309"/>
      <c r="H519" s="309"/>
      <c r="I519" s="309"/>
    </row>
    <row r="520">
      <c r="D520" s="309"/>
      <c r="E520" s="309"/>
      <c r="F520" s="309"/>
      <c r="G520" s="309"/>
      <c r="H520" s="309"/>
      <c r="I520" s="309"/>
    </row>
    <row r="521">
      <c r="D521" s="309"/>
      <c r="E521" s="309"/>
      <c r="F521" s="309"/>
      <c r="G521" s="309"/>
      <c r="H521" s="309"/>
      <c r="I521" s="309"/>
    </row>
    <row r="522">
      <c r="D522" s="309"/>
      <c r="E522" s="309"/>
      <c r="F522" s="309"/>
      <c r="G522" s="309"/>
      <c r="H522" s="309"/>
      <c r="I522" s="309"/>
    </row>
    <row r="523">
      <c r="D523" s="309"/>
      <c r="E523" s="309"/>
      <c r="F523" s="309"/>
      <c r="G523" s="309"/>
      <c r="H523" s="309"/>
      <c r="I523" s="309"/>
    </row>
    <row r="524">
      <c r="D524" s="309"/>
      <c r="E524" s="309"/>
      <c r="F524" s="309"/>
      <c r="G524" s="309"/>
      <c r="H524" s="309"/>
      <c r="I524" s="309"/>
    </row>
    <row r="525">
      <c r="D525" s="309"/>
      <c r="E525" s="309"/>
      <c r="F525" s="309"/>
      <c r="G525" s="309"/>
      <c r="H525" s="309"/>
      <c r="I525" s="309"/>
    </row>
    <row r="526">
      <c r="D526" s="309"/>
      <c r="E526" s="309"/>
      <c r="F526" s="309"/>
      <c r="G526" s="309"/>
      <c r="H526" s="309"/>
      <c r="I526" s="309"/>
    </row>
    <row r="527">
      <c r="D527" s="309"/>
      <c r="E527" s="309"/>
      <c r="F527" s="309"/>
      <c r="G527" s="309"/>
      <c r="H527" s="309"/>
      <c r="I527" s="309"/>
    </row>
    <row r="528">
      <c r="D528" s="309"/>
      <c r="E528" s="309"/>
      <c r="F528" s="309"/>
      <c r="G528" s="309"/>
      <c r="H528" s="309"/>
      <c r="I528" s="309"/>
    </row>
    <row r="529">
      <c r="D529" s="309"/>
      <c r="E529" s="309"/>
      <c r="F529" s="309"/>
      <c r="G529" s="309"/>
      <c r="H529" s="309"/>
      <c r="I529" s="309"/>
    </row>
    <row r="530">
      <c r="D530" s="309"/>
      <c r="E530" s="309"/>
      <c r="F530" s="309"/>
      <c r="G530" s="309"/>
      <c r="H530" s="309"/>
      <c r="I530" s="309"/>
    </row>
    <row r="531">
      <c r="D531" s="309"/>
      <c r="E531" s="309"/>
      <c r="F531" s="309"/>
      <c r="G531" s="309"/>
      <c r="H531" s="309"/>
      <c r="I531" s="309"/>
    </row>
    <row r="532">
      <c r="D532" s="309"/>
      <c r="E532" s="309"/>
      <c r="F532" s="309"/>
      <c r="G532" s="309"/>
      <c r="H532" s="309"/>
      <c r="I532" s="309"/>
    </row>
    <row r="533">
      <c r="D533" s="309"/>
      <c r="E533" s="309"/>
      <c r="F533" s="309"/>
      <c r="G533" s="309"/>
      <c r="H533" s="309"/>
      <c r="I533" s="309"/>
    </row>
    <row r="534">
      <c r="D534" s="309"/>
      <c r="E534" s="309"/>
      <c r="F534" s="309"/>
      <c r="G534" s="309"/>
      <c r="H534" s="309"/>
      <c r="I534" s="309"/>
    </row>
    <row r="535">
      <c r="D535" s="309"/>
      <c r="E535" s="309"/>
      <c r="F535" s="309"/>
      <c r="G535" s="309"/>
      <c r="H535" s="309"/>
      <c r="I535" s="309"/>
    </row>
    <row r="536">
      <c r="D536" s="309"/>
      <c r="E536" s="309"/>
      <c r="F536" s="309"/>
      <c r="G536" s="309"/>
      <c r="H536" s="309"/>
      <c r="I536" s="309"/>
    </row>
    <row r="537">
      <c r="D537" s="309"/>
      <c r="E537" s="309"/>
      <c r="F537" s="309"/>
      <c r="G537" s="309"/>
      <c r="H537" s="309"/>
      <c r="I537" s="309"/>
    </row>
    <row r="538">
      <c r="D538" s="309"/>
      <c r="E538" s="309"/>
      <c r="F538" s="309"/>
      <c r="G538" s="309"/>
      <c r="H538" s="309"/>
      <c r="I538" s="309"/>
    </row>
    <row r="539">
      <c r="D539" s="309"/>
      <c r="E539" s="309"/>
      <c r="F539" s="309"/>
      <c r="G539" s="309"/>
      <c r="H539" s="309"/>
      <c r="I539" s="309"/>
    </row>
    <row r="540">
      <c r="D540" s="309"/>
      <c r="E540" s="309"/>
      <c r="F540" s="309"/>
      <c r="G540" s="309"/>
      <c r="H540" s="309"/>
      <c r="I540" s="309"/>
    </row>
    <row r="541">
      <c r="D541" s="309"/>
      <c r="E541" s="309"/>
      <c r="F541" s="309"/>
      <c r="G541" s="309"/>
      <c r="H541" s="309"/>
      <c r="I541" s="309"/>
    </row>
    <row r="542">
      <c r="D542" s="309"/>
      <c r="E542" s="309"/>
      <c r="F542" s="309"/>
      <c r="G542" s="309"/>
      <c r="H542" s="309"/>
      <c r="I542" s="309"/>
    </row>
    <row r="543">
      <c r="D543" s="309"/>
      <c r="E543" s="309"/>
      <c r="F543" s="309"/>
      <c r="G543" s="309"/>
      <c r="H543" s="309"/>
      <c r="I543" s="309"/>
    </row>
    <row r="544">
      <c r="D544" s="309"/>
      <c r="E544" s="309"/>
      <c r="F544" s="309"/>
      <c r="G544" s="309"/>
      <c r="H544" s="309"/>
      <c r="I544" s="309"/>
    </row>
    <row r="545">
      <c r="D545" s="309"/>
      <c r="E545" s="309"/>
      <c r="F545" s="309"/>
      <c r="G545" s="309"/>
      <c r="H545" s="309"/>
      <c r="I545" s="309"/>
    </row>
    <row r="546">
      <c r="D546" s="309"/>
      <c r="E546" s="309"/>
      <c r="F546" s="309"/>
      <c r="G546" s="309"/>
      <c r="H546" s="309"/>
      <c r="I546" s="309"/>
    </row>
    <row r="547">
      <c r="D547" s="309"/>
      <c r="E547" s="309"/>
      <c r="F547" s="309"/>
      <c r="G547" s="309"/>
      <c r="H547" s="309"/>
      <c r="I547" s="309"/>
    </row>
    <row r="548">
      <c r="D548" s="309"/>
      <c r="E548" s="309"/>
      <c r="F548" s="309"/>
      <c r="G548" s="309"/>
      <c r="H548" s="309"/>
      <c r="I548" s="309"/>
    </row>
    <row r="549">
      <c r="D549" s="309"/>
      <c r="E549" s="309"/>
      <c r="F549" s="309"/>
      <c r="G549" s="309"/>
      <c r="H549" s="309"/>
      <c r="I549" s="309"/>
    </row>
    <row r="550">
      <c r="D550" s="309"/>
      <c r="E550" s="309"/>
      <c r="F550" s="309"/>
      <c r="G550" s="309"/>
      <c r="H550" s="309"/>
      <c r="I550" s="309"/>
    </row>
    <row r="551">
      <c r="D551" s="309"/>
      <c r="E551" s="309"/>
      <c r="F551" s="309"/>
      <c r="G551" s="309"/>
      <c r="H551" s="309"/>
      <c r="I551" s="309"/>
    </row>
    <row r="552">
      <c r="D552" s="309"/>
      <c r="E552" s="309"/>
      <c r="F552" s="309"/>
      <c r="G552" s="309"/>
      <c r="H552" s="309"/>
      <c r="I552" s="309"/>
    </row>
    <row r="553">
      <c r="D553" s="309"/>
      <c r="E553" s="309"/>
      <c r="F553" s="309"/>
      <c r="G553" s="309"/>
      <c r="H553" s="309"/>
      <c r="I553" s="309"/>
    </row>
    <row r="554">
      <c r="D554" s="309"/>
      <c r="E554" s="309"/>
      <c r="F554" s="309"/>
      <c r="G554" s="309"/>
      <c r="H554" s="309"/>
      <c r="I554" s="309"/>
    </row>
    <row r="555">
      <c r="D555" s="309"/>
      <c r="E555" s="309"/>
      <c r="F555" s="309"/>
      <c r="G555" s="309"/>
      <c r="H555" s="309"/>
      <c r="I555" s="309"/>
    </row>
    <row r="556">
      <c r="D556" s="309"/>
      <c r="E556" s="309"/>
      <c r="F556" s="309"/>
      <c r="G556" s="309"/>
      <c r="H556" s="309"/>
      <c r="I556" s="309"/>
    </row>
    <row r="557">
      <c r="D557" s="309"/>
      <c r="E557" s="309"/>
      <c r="F557" s="309"/>
      <c r="G557" s="309"/>
      <c r="H557" s="309"/>
      <c r="I557" s="309"/>
    </row>
    <row r="558">
      <c r="D558" s="309"/>
      <c r="E558" s="309"/>
      <c r="F558" s="309"/>
      <c r="G558" s="309"/>
      <c r="H558" s="309"/>
      <c r="I558" s="309"/>
    </row>
    <row r="559">
      <c r="D559" s="309"/>
      <c r="E559" s="309"/>
      <c r="F559" s="309"/>
      <c r="G559" s="309"/>
      <c r="H559" s="309"/>
      <c r="I559" s="309"/>
    </row>
    <row r="560">
      <c r="D560" s="309"/>
      <c r="E560" s="309"/>
      <c r="F560" s="309"/>
      <c r="G560" s="309"/>
      <c r="H560" s="309"/>
      <c r="I560" s="309"/>
    </row>
    <row r="561">
      <c r="D561" s="309"/>
      <c r="E561" s="309"/>
      <c r="F561" s="309"/>
      <c r="G561" s="309"/>
      <c r="H561" s="309"/>
      <c r="I561" s="309"/>
    </row>
    <row r="562">
      <c r="D562" s="309"/>
      <c r="E562" s="309"/>
      <c r="F562" s="309"/>
      <c r="G562" s="309"/>
      <c r="H562" s="309"/>
      <c r="I562" s="309"/>
    </row>
    <row r="563">
      <c r="D563" s="309"/>
      <c r="E563" s="309"/>
      <c r="F563" s="309"/>
      <c r="G563" s="309"/>
      <c r="H563" s="309"/>
      <c r="I563" s="309"/>
    </row>
    <row r="564">
      <c r="D564" s="309"/>
      <c r="E564" s="309"/>
      <c r="F564" s="309"/>
      <c r="G564" s="309"/>
      <c r="H564" s="309"/>
      <c r="I564" s="309"/>
    </row>
    <row r="565">
      <c r="D565" s="309"/>
      <c r="E565" s="309"/>
      <c r="F565" s="309"/>
      <c r="G565" s="309"/>
      <c r="H565" s="309"/>
      <c r="I565" s="309"/>
    </row>
    <row r="566">
      <c r="D566" s="309"/>
      <c r="E566" s="309"/>
      <c r="F566" s="309"/>
      <c r="G566" s="309"/>
      <c r="H566" s="309"/>
      <c r="I566" s="309"/>
    </row>
    <row r="567">
      <c r="D567" s="309"/>
      <c r="E567" s="309"/>
      <c r="F567" s="309"/>
      <c r="G567" s="309"/>
      <c r="H567" s="309"/>
      <c r="I567" s="309"/>
    </row>
    <row r="568">
      <c r="D568" s="309"/>
      <c r="E568" s="309"/>
      <c r="F568" s="309"/>
      <c r="G568" s="309"/>
      <c r="H568" s="309"/>
      <c r="I568" s="309"/>
    </row>
    <row r="569">
      <c r="D569" s="309"/>
      <c r="E569" s="309"/>
      <c r="F569" s="309"/>
      <c r="G569" s="309"/>
      <c r="H569" s="309"/>
      <c r="I569" s="309"/>
    </row>
    <row r="570">
      <c r="D570" s="309"/>
      <c r="E570" s="309"/>
      <c r="F570" s="309"/>
      <c r="G570" s="309"/>
      <c r="H570" s="309"/>
      <c r="I570" s="309"/>
    </row>
    <row r="571">
      <c r="D571" s="309"/>
      <c r="E571" s="309"/>
      <c r="F571" s="309"/>
      <c r="G571" s="309"/>
      <c r="H571" s="309"/>
      <c r="I571" s="309"/>
    </row>
    <row r="572">
      <c r="D572" s="309"/>
      <c r="E572" s="309"/>
      <c r="F572" s="309"/>
      <c r="G572" s="309"/>
      <c r="H572" s="309"/>
      <c r="I572" s="309"/>
    </row>
    <row r="573">
      <c r="D573" s="309"/>
      <c r="E573" s="309"/>
      <c r="F573" s="309"/>
      <c r="G573" s="309"/>
      <c r="H573" s="309"/>
      <c r="I573" s="309"/>
    </row>
    <row r="574">
      <c r="D574" s="309"/>
      <c r="E574" s="309"/>
      <c r="F574" s="309"/>
      <c r="G574" s="309"/>
      <c r="H574" s="309"/>
      <c r="I574" s="309"/>
    </row>
    <row r="575">
      <c r="D575" s="309"/>
      <c r="E575" s="309"/>
      <c r="F575" s="309"/>
      <c r="G575" s="309"/>
      <c r="H575" s="309"/>
      <c r="I575" s="309"/>
    </row>
    <row r="576">
      <c r="D576" s="309"/>
      <c r="E576" s="309"/>
      <c r="F576" s="309"/>
      <c r="G576" s="309"/>
      <c r="H576" s="309"/>
      <c r="I576" s="309"/>
    </row>
    <row r="577">
      <c r="D577" s="309"/>
      <c r="E577" s="309"/>
      <c r="F577" s="309"/>
      <c r="G577" s="309"/>
      <c r="H577" s="309"/>
      <c r="I577" s="309"/>
    </row>
    <row r="578">
      <c r="D578" s="309"/>
      <c r="E578" s="309"/>
      <c r="F578" s="309"/>
      <c r="G578" s="309"/>
      <c r="H578" s="309"/>
      <c r="I578" s="309"/>
    </row>
    <row r="579">
      <c r="D579" s="309"/>
      <c r="E579" s="309"/>
      <c r="F579" s="309"/>
      <c r="G579" s="309"/>
      <c r="H579" s="309"/>
      <c r="I579" s="309"/>
    </row>
    <row r="580">
      <c r="D580" s="309"/>
      <c r="E580" s="309"/>
      <c r="F580" s="309"/>
      <c r="G580" s="309"/>
      <c r="H580" s="309"/>
      <c r="I580" s="309"/>
    </row>
    <row r="581">
      <c r="D581" s="309"/>
      <c r="E581" s="309"/>
      <c r="F581" s="309"/>
      <c r="G581" s="309"/>
      <c r="H581" s="309"/>
      <c r="I581" s="309"/>
    </row>
    <row r="582">
      <c r="D582" s="309"/>
      <c r="E582" s="309"/>
      <c r="F582" s="309"/>
      <c r="G582" s="309"/>
      <c r="H582" s="309"/>
      <c r="I582" s="309"/>
    </row>
    <row r="583">
      <c r="D583" s="309"/>
      <c r="E583" s="309"/>
      <c r="F583" s="309"/>
      <c r="G583" s="309"/>
      <c r="H583" s="309"/>
      <c r="I583" s="309"/>
    </row>
    <row r="584">
      <c r="D584" s="309"/>
      <c r="E584" s="309"/>
      <c r="F584" s="309"/>
      <c r="G584" s="309"/>
      <c r="H584" s="309"/>
      <c r="I584" s="309"/>
    </row>
    <row r="585">
      <c r="D585" s="309"/>
      <c r="E585" s="309"/>
      <c r="F585" s="309"/>
      <c r="G585" s="309"/>
      <c r="H585" s="309"/>
      <c r="I585" s="309"/>
    </row>
    <row r="586">
      <c r="D586" s="309"/>
      <c r="E586" s="309"/>
      <c r="F586" s="309"/>
      <c r="G586" s="309"/>
      <c r="H586" s="309"/>
      <c r="I586" s="309"/>
    </row>
    <row r="587">
      <c r="D587" s="309"/>
      <c r="E587" s="309"/>
      <c r="F587" s="309"/>
      <c r="G587" s="309"/>
      <c r="H587" s="309"/>
      <c r="I587" s="309"/>
    </row>
    <row r="588">
      <c r="D588" s="309"/>
      <c r="E588" s="309"/>
      <c r="F588" s="309"/>
      <c r="G588" s="309"/>
      <c r="H588" s="309"/>
      <c r="I588" s="309"/>
    </row>
    <row r="589">
      <c r="D589" s="309"/>
      <c r="E589" s="309"/>
      <c r="F589" s="309"/>
      <c r="G589" s="309"/>
      <c r="H589" s="309"/>
      <c r="I589" s="309"/>
    </row>
    <row r="590">
      <c r="D590" s="309"/>
      <c r="E590" s="309"/>
      <c r="F590" s="309"/>
      <c r="G590" s="309"/>
      <c r="H590" s="309"/>
      <c r="I590" s="309"/>
    </row>
    <row r="591">
      <c r="D591" s="309"/>
      <c r="E591" s="309"/>
      <c r="F591" s="309"/>
      <c r="G591" s="309"/>
      <c r="H591" s="309"/>
      <c r="I591" s="309"/>
    </row>
    <row r="592">
      <c r="D592" s="309"/>
      <c r="E592" s="309"/>
      <c r="F592" s="309"/>
      <c r="G592" s="309"/>
      <c r="H592" s="309"/>
      <c r="I592" s="309"/>
    </row>
    <row r="593">
      <c r="D593" s="309"/>
      <c r="E593" s="309"/>
      <c r="F593" s="309"/>
      <c r="G593" s="309"/>
      <c r="H593" s="309"/>
      <c r="I593" s="309"/>
    </row>
    <row r="594">
      <c r="D594" s="309"/>
      <c r="E594" s="309"/>
      <c r="F594" s="309"/>
      <c r="G594" s="309"/>
      <c r="H594" s="309"/>
      <c r="I594" s="309"/>
    </row>
    <row r="595">
      <c r="D595" s="309"/>
      <c r="E595" s="309"/>
      <c r="F595" s="309"/>
      <c r="G595" s="309"/>
      <c r="H595" s="309"/>
      <c r="I595" s="309"/>
    </row>
    <row r="596">
      <c r="D596" s="309"/>
      <c r="E596" s="309"/>
      <c r="F596" s="309"/>
      <c r="G596" s="309"/>
      <c r="H596" s="309"/>
      <c r="I596" s="309"/>
    </row>
    <row r="597">
      <c r="D597" s="309"/>
      <c r="E597" s="309"/>
      <c r="F597" s="309"/>
      <c r="G597" s="309"/>
      <c r="H597" s="309"/>
      <c r="I597" s="309"/>
    </row>
    <row r="598">
      <c r="D598" s="309"/>
      <c r="E598" s="309"/>
      <c r="F598" s="309"/>
      <c r="G598" s="309"/>
      <c r="H598" s="309"/>
      <c r="I598" s="309"/>
    </row>
    <row r="599">
      <c r="D599" s="309"/>
      <c r="E599" s="309"/>
      <c r="F599" s="309"/>
      <c r="G599" s="309"/>
      <c r="H599" s="309"/>
      <c r="I599" s="309"/>
    </row>
    <row r="600">
      <c r="D600" s="309"/>
      <c r="E600" s="309"/>
      <c r="F600" s="309"/>
      <c r="G600" s="309"/>
      <c r="H600" s="309"/>
      <c r="I600" s="309"/>
    </row>
    <row r="601">
      <c r="D601" s="309"/>
      <c r="E601" s="309"/>
      <c r="F601" s="309"/>
      <c r="G601" s="309"/>
      <c r="H601" s="309"/>
      <c r="I601" s="309"/>
    </row>
    <row r="602">
      <c r="D602" s="309"/>
      <c r="E602" s="309"/>
      <c r="F602" s="309"/>
      <c r="G602" s="309"/>
      <c r="H602" s="309"/>
      <c r="I602" s="309"/>
    </row>
    <row r="603">
      <c r="D603" s="309"/>
      <c r="E603" s="309"/>
      <c r="F603" s="309"/>
      <c r="G603" s="309"/>
      <c r="H603" s="309"/>
      <c r="I603" s="309"/>
    </row>
    <row r="604">
      <c r="D604" s="309"/>
      <c r="E604" s="309"/>
      <c r="F604" s="309"/>
      <c r="G604" s="309"/>
      <c r="H604" s="309"/>
      <c r="I604" s="309"/>
    </row>
    <row r="605">
      <c r="D605" s="309"/>
      <c r="E605" s="309"/>
      <c r="F605" s="309"/>
      <c r="G605" s="309"/>
      <c r="H605" s="309"/>
      <c r="I605" s="309"/>
    </row>
    <row r="606">
      <c r="D606" s="309"/>
      <c r="E606" s="309"/>
      <c r="F606" s="309"/>
      <c r="G606" s="309"/>
      <c r="H606" s="309"/>
      <c r="I606" s="309"/>
    </row>
    <row r="607">
      <c r="D607" s="309"/>
      <c r="E607" s="309"/>
      <c r="F607" s="309"/>
      <c r="G607" s="309"/>
      <c r="H607" s="309"/>
      <c r="I607" s="309"/>
    </row>
    <row r="608">
      <c r="D608" s="309"/>
      <c r="E608" s="309"/>
      <c r="F608" s="309"/>
      <c r="G608" s="309"/>
      <c r="H608" s="309"/>
      <c r="I608" s="309"/>
    </row>
    <row r="609">
      <c r="D609" s="309"/>
      <c r="E609" s="309"/>
      <c r="F609" s="309"/>
      <c r="G609" s="309"/>
      <c r="H609" s="309"/>
      <c r="I609" s="309"/>
    </row>
    <row r="610">
      <c r="D610" s="309"/>
      <c r="E610" s="309"/>
      <c r="F610" s="309"/>
      <c r="G610" s="309"/>
      <c r="H610" s="309"/>
      <c r="I610" s="309"/>
    </row>
    <row r="611">
      <c r="D611" s="309"/>
      <c r="E611" s="309"/>
      <c r="F611" s="309"/>
      <c r="G611" s="309"/>
      <c r="H611" s="309"/>
      <c r="I611" s="309"/>
    </row>
    <row r="612">
      <c r="D612" s="309"/>
      <c r="E612" s="309"/>
      <c r="F612" s="309"/>
      <c r="G612" s="309"/>
      <c r="H612" s="309"/>
      <c r="I612" s="309"/>
    </row>
    <row r="613">
      <c r="D613" s="309"/>
      <c r="E613" s="309"/>
      <c r="F613" s="309"/>
      <c r="G613" s="309"/>
      <c r="H613" s="309"/>
      <c r="I613" s="309"/>
    </row>
    <row r="614">
      <c r="D614" s="309"/>
      <c r="E614" s="309"/>
      <c r="F614" s="309"/>
      <c r="G614" s="309"/>
      <c r="H614" s="309"/>
      <c r="I614" s="309"/>
    </row>
    <row r="615">
      <c r="D615" s="309"/>
      <c r="E615" s="309"/>
      <c r="F615" s="309"/>
      <c r="G615" s="309"/>
      <c r="H615" s="309"/>
      <c r="I615" s="309"/>
    </row>
    <row r="616">
      <c r="D616" s="309"/>
      <c r="E616" s="309"/>
      <c r="F616" s="309"/>
      <c r="G616" s="309"/>
      <c r="H616" s="309"/>
      <c r="I616" s="309"/>
    </row>
    <row r="617">
      <c r="D617" s="309"/>
      <c r="E617" s="309"/>
      <c r="F617" s="309"/>
      <c r="G617" s="309"/>
      <c r="H617" s="309"/>
      <c r="I617" s="309"/>
    </row>
    <row r="618">
      <c r="D618" s="309"/>
      <c r="E618" s="309"/>
      <c r="F618" s="309"/>
      <c r="G618" s="309"/>
      <c r="H618" s="309"/>
      <c r="I618" s="309"/>
    </row>
    <row r="619">
      <c r="D619" s="309"/>
      <c r="E619" s="309"/>
      <c r="F619" s="309"/>
      <c r="G619" s="309"/>
      <c r="H619" s="309"/>
      <c r="I619" s="309"/>
    </row>
    <row r="620">
      <c r="D620" s="309"/>
      <c r="E620" s="309"/>
      <c r="F620" s="309"/>
      <c r="G620" s="309"/>
      <c r="H620" s="309"/>
      <c r="I620" s="309"/>
    </row>
    <row r="621">
      <c r="D621" s="309"/>
      <c r="E621" s="309"/>
      <c r="F621" s="309"/>
      <c r="G621" s="309"/>
      <c r="H621" s="309"/>
      <c r="I621" s="309"/>
    </row>
    <row r="622">
      <c r="D622" s="309"/>
      <c r="E622" s="309"/>
      <c r="F622" s="309"/>
      <c r="G622" s="309"/>
      <c r="H622" s="309"/>
      <c r="I622" s="309"/>
    </row>
    <row r="623">
      <c r="D623" s="309"/>
      <c r="E623" s="309"/>
      <c r="F623" s="309"/>
      <c r="G623" s="309"/>
      <c r="H623" s="309"/>
      <c r="I623" s="309"/>
    </row>
    <row r="624">
      <c r="D624" s="309"/>
      <c r="E624" s="309"/>
      <c r="F624" s="309"/>
      <c r="G624" s="309"/>
      <c r="H624" s="309"/>
      <c r="I624" s="309"/>
    </row>
    <row r="625">
      <c r="D625" s="309"/>
      <c r="E625" s="309"/>
      <c r="F625" s="309"/>
      <c r="G625" s="309"/>
      <c r="H625" s="309"/>
      <c r="I625" s="309"/>
    </row>
    <row r="626">
      <c r="D626" s="309"/>
      <c r="E626" s="309"/>
      <c r="F626" s="309"/>
      <c r="G626" s="309"/>
      <c r="H626" s="309"/>
      <c r="I626" s="309"/>
    </row>
    <row r="627">
      <c r="D627" s="309"/>
      <c r="E627" s="309"/>
      <c r="F627" s="309"/>
      <c r="G627" s="309"/>
      <c r="H627" s="309"/>
      <c r="I627" s="309"/>
    </row>
    <row r="628">
      <c r="D628" s="309"/>
      <c r="E628" s="309"/>
      <c r="F628" s="309"/>
      <c r="G628" s="309"/>
      <c r="H628" s="309"/>
      <c r="I628" s="309"/>
    </row>
    <row r="629">
      <c r="D629" s="309"/>
      <c r="E629" s="309"/>
      <c r="F629" s="309"/>
      <c r="G629" s="309"/>
      <c r="H629" s="309"/>
      <c r="I629" s="309"/>
    </row>
    <row r="630">
      <c r="D630" s="309"/>
      <c r="E630" s="309"/>
      <c r="F630" s="309"/>
      <c r="G630" s="309"/>
      <c r="H630" s="309"/>
      <c r="I630" s="309"/>
    </row>
    <row r="631">
      <c r="D631" s="309"/>
      <c r="E631" s="309"/>
      <c r="F631" s="309"/>
      <c r="G631" s="309"/>
      <c r="H631" s="309"/>
      <c r="I631" s="309"/>
    </row>
    <row r="632">
      <c r="D632" s="309"/>
      <c r="E632" s="309"/>
      <c r="F632" s="309"/>
      <c r="G632" s="309"/>
      <c r="H632" s="309"/>
      <c r="I632" s="309"/>
    </row>
    <row r="633">
      <c r="D633" s="309"/>
      <c r="E633" s="309"/>
      <c r="F633" s="309"/>
      <c r="G633" s="309"/>
      <c r="H633" s="309"/>
      <c r="I633" s="309"/>
    </row>
    <row r="634">
      <c r="D634" s="309"/>
      <c r="E634" s="309"/>
      <c r="F634" s="309"/>
      <c r="G634" s="309"/>
      <c r="H634" s="309"/>
      <c r="I634" s="309"/>
    </row>
    <row r="635">
      <c r="D635" s="309"/>
      <c r="E635" s="309"/>
      <c r="F635" s="309"/>
      <c r="G635" s="309"/>
      <c r="H635" s="309"/>
      <c r="I635" s="309"/>
    </row>
    <row r="636">
      <c r="D636" s="309"/>
      <c r="E636" s="309"/>
      <c r="F636" s="309"/>
      <c r="G636" s="309"/>
      <c r="H636" s="309"/>
      <c r="I636" s="309"/>
    </row>
    <row r="637">
      <c r="D637" s="309"/>
      <c r="E637" s="309"/>
      <c r="F637" s="309"/>
      <c r="G637" s="309"/>
      <c r="H637" s="309"/>
      <c r="I637" s="309"/>
    </row>
    <row r="638">
      <c r="D638" s="309"/>
      <c r="E638" s="309"/>
      <c r="F638" s="309"/>
      <c r="G638" s="309"/>
      <c r="H638" s="309"/>
      <c r="I638" s="309"/>
    </row>
    <row r="639">
      <c r="D639" s="309"/>
      <c r="E639" s="309"/>
      <c r="F639" s="309"/>
      <c r="G639" s="309"/>
      <c r="H639" s="309"/>
      <c r="I639" s="309"/>
    </row>
    <row r="640">
      <c r="D640" s="309"/>
      <c r="E640" s="309"/>
      <c r="F640" s="309"/>
      <c r="G640" s="309"/>
      <c r="H640" s="309"/>
      <c r="I640" s="309"/>
    </row>
    <row r="641">
      <c r="D641" s="309"/>
      <c r="E641" s="309"/>
      <c r="F641" s="309"/>
      <c r="G641" s="309"/>
      <c r="H641" s="309"/>
      <c r="I641" s="309"/>
    </row>
    <row r="642">
      <c r="D642" s="309"/>
      <c r="E642" s="309"/>
      <c r="F642" s="309"/>
      <c r="G642" s="309"/>
      <c r="H642" s="309"/>
      <c r="I642" s="309"/>
    </row>
    <row r="643">
      <c r="D643" s="309"/>
      <c r="E643" s="309"/>
      <c r="F643" s="309"/>
      <c r="G643" s="309"/>
      <c r="H643" s="309"/>
      <c r="I643" s="309"/>
    </row>
    <row r="644">
      <c r="D644" s="309"/>
      <c r="E644" s="309"/>
      <c r="F644" s="309"/>
      <c r="G644" s="309"/>
      <c r="H644" s="309"/>
      <c r="I644" s="309"/>
    </row>
    <row r="645">
      <c r="D645" s="309"/>
      <c r="E645" s="309"/>
      <c r="F645" s="309"/>
      <c r="G645" s="309"/>
      <c r="H645" s="309"/>
      <c r="I645" s="309"/>
    </row>
    <row r="646">
      <c r="D646" s="309"/>
      <c r="E646" s="309"/>
      <c r="F646" s="309"/>
      <c r="G646" s="309"/>
      <c r="H646" s="309"/>
      <c r="I646" s="309"/>
    </row>
    <row r="647">
      <c r="D647" s="309"/>
      <c r="E647" s="309"/>
      <c r="F647" s="309"/>
      <c r="G647" s="309"/>
      <c r="H647" s="309"/>
      <c r="I647" s="309"/>
    </row>
    <row r="648">
      <c r="D648" s="309"/>
      <c r="E648" s="309"/>
      <c r="F648" s="309"/>
      <c r="G648" s="309"/>
      <c r="H648" s="309"/>
      <c r="I648" s="309"/>
    </row>
    <row r="649">
      <c r="D649" s="309"/>
      <c r="E649" s="309"/>
      <c r="F649" s="309"/>
      <c r="G649" s="309"/>
      <c r="H649" s="309"/>
      <c r="I649" s="309"/>
    </row>
    <row r="650">
      <c r="D650" s="309"/>
      <c r="E650" s="309"/>
      <c r="F650" s="309"/>
      <c r="G650" s="309"/>
      <c r="H650" s="309"/>
      <c r="I650" s="309"/>
    </row>
    <row r="651">
      <c r="D651" s="309"/>
      <c r="E651" s="309"/>
      <c r="F651" s="309"/>
      <c r="G651" s="309"/>
      <c r="H651" s="309"/>
      <c r="I651" s="309"/>
    </row>
    <row r="652">
      <c r="D652" s="309"/>
      <c r="E652" s="309"/>
      <c r="F652" s="309"/>
      <c r="G652" s="309"/>
      <c r="H652" s="309"/>
      <c r="I652" s="309"/>
    </row>
    <row r="653">
      <c r="D653" s="309"/>
      <c r="E653" s="309"/>
      <c r="F653" s="309"/>
      <c r="G653" s="309"/>
      <c r="H653" s="309"/>
      <c r="I653" s="309"/>
    </row>
    <row r="654">
      <c r="D654" s="309"/>
      <c r="E654" s="309"/>
      <c r="F654" s="309"/>
      <c r="G654" s="309"/>
      <c r="H654" s="309"/>
      <c r="I654" s="309"/>
    </row>
    <row r="655">
      <c r="D655" s="309"/>
      <c r="E655" s="309"/>
      <c r="F655" s="309"/>
      <c r="G655" s="309"/>
      <c r="H655" s="309"/>
      <c r="I655" s="309"/>
    </row>
    <row r="656">
      <c r="D656" s="309"/>
      <c r="E656" s="309"/>
      <c r="F656" s="309"/>
      <c r="G656" s="309"/>
      <c r="H656" s="309"/>
      <c r="I656" s="309"/>
    </row>
    <row r="657">
      <c r="D657" s="309"/>
      <c r="E657" s="309"/>
      <c r="F657" s="309"/>
      <c r="G657" s="309"/>
      <c r="H657" s="309"/>
      <c r="I657" s="309"/>
    </row>
    <row r="658">
      <c r="D658" s="309"/>
      <c r="E658" s="309"/>
      <c r="F658" s="309"/>
      <c r="G658" s="309"/>
      <c r="H658" s="309"/>
      <c r="I658" s="309"/>
    </row>
    <row r="659">
      <c r="D659" s="309"/>
      <c r="E659" s="309"/>
      <c r="F659" s="309"/>
      <c r="G659" s="309"/>
      <c r="H659" s="309"/>
      <c r="I659" s="309"/>
    </row>
    <row r="660">
      <c r="D660" s="309"/>
      <c r="E660" s="309"/>
      <c r="F660" s="309"/>
      <c r="G660" s="309"/>
      <c r="H660" s="309"/>
      <c r="I660" s="309"/>
    </row>
    <row r="661">
      <c r="D661" s="309"/>
      <c r="E661" s="309"/>
      <c r="F661" s="309"/>
      <c r="G661" s="309"/>
      <c r="H661" s="309"/>
      <c r="I661" s="309"/>
    </row>
    <row r="662">
      <c r="D662" s="309"/>
      <c r="E662" s="309"/>
      <c r="F662" s="309"/>
      <c r="G662" s="309"/>
      <c r="H662" s="309"/>
      <c r="I662" s="309"/>
    </row>
    <row r="663">
      <c r="D663" s="309"/>
      <c r="E663" s="309"/>
      <c r="F663" s="309"/>
      <c r="G663" s="309"/>
      <c r="H663" s="309"/>
      <c r="I663" s="309"/>
    </row>
    <row r="664">
      <c r="D664" s="309"/>
      <c r="E664" s="309"/>
      <c r="F664" s="309"/>
      <c r="G664" s="309"/>
      <c r="H664" s="309"/>
      <c r="I664" s="309"/>
    </row>
    <row r="665">
      <c r="D665" s="309"/>
      <c r="E665" s="309"/>
      <c r="F665" s="309"/>
      <c r="G665" s="309"/>
      <c r="H665" s="309"/>
      <c r="I665" s="309"/>
    </row>
    <row r="666">
      <c r="D666" s="309"/>
      <c r="E666" s="309"/>
      <c r="F666" s="309"/>
      <c r="G666" s="309"/>
      <c r="H666" s="309"/>
      <c r="I666" s="309"/>
    </row>
    <row r="667">
      <c r="D667" s="309"/>
      <c r="E667" s="309"/>
      <c r="F667" s="309"/>
      <c r="G667" s="309"/>
      <c r="H667" s="309"/>
      <c r="I667" s="309"/>
    </row>
    <row r="668">
      <c r="D668" s="309"/>
      <c r="E668" s="309"/>
      <c r="F668" s="309"/>
      <c r="G668" s="309"/>
      <c r="H668" s="309"/>
      <c r="I668" s="309"/>
    </row>
    <row r="669">
      <c r="D669" s="309"/>
      <c r="E669" s="309"/>
      <c r="F669" s="309"/>
      <c r="G669" s="309"/>
      <c r="H669" s="309"/>
      <c r="I669" s="309"/>
    </row>
    <row r="670">
      <c r="D670" s="309"/>
      <c r="E670" s="309"/>
      <c r="F670" s="309"/>
      <c r="G670" s="309"/>
      <c r="H670" s="309"/>
      <c r="I670" s="309"/>
    </row>
    <row r="671">
      <c r="D671" s="309"/>
      <c r="E671" s="309"/>
      <c r="F671" s="309"/>
      <c r="G671" s="309"/>
      <c r="H671" s="309"/>
      <c r="I671" s="309"/>
    </row>
    <row r="672">
      <c r="D672" s="309"/>
      <c r="E672" s="309"/>
      <c r="F672" s="309"/>
      <c r="G672" s="309"/>
      <c r="H672" s="309"/>
      <c r="I672" s="309"/>
    </row>
    <row r="673">
      <c r="D673" s="309"/>
      <c r="E673" s="309"/>
      <c r="F673" s="309"/>
      <c r="G673" s="309"/>
      <c r="H673" s="309"/>
      <c r="I673" s="309"/>
    </row>
    <row r="674">
      <c r="D674" s="309"/>
      <c r="E674" s="309"/>
      <c r="F674" s="309"/>
      <c r="G674" s="309"/>
      <c r="H674" s="309"/>
      <c r="I674" s="309"/>
    </row>
    <row r="675">
      <c r="D675" s="309"/>
      <c r="E675" s="309"/>
      <c r="F675" s="309"/>
      <c r="G675" s="309"/>
      <c r="H675" s="309"/>
      <c r="I675" s="309"/>
    </row>
    <row r="676">
      <c r="D676" s="309"/>
      <c r="E676" s="309"/>
      <c r="F676" s="309"/>
      <c r="G676" s="309"/>
      <c r="H676" s="309"/>
      <c r="I676" s="309"/>
    </row>
    <row r="677">
      <c r="D677" s="309"/>
      <c r="E677" s="309"/>
      <c r="F677" s="309"/>
      <c r="G677" s="309"/>
      <c r="H677" s="309"/>
      <c r="I677" s="309"/>
    </row>
    <row r="678">
      <c r="D678" s="309"/>
      <c r="E678" s="309"/>
      <c r="F678" s="309"/>
      <c r="G678" s="309"/>
      <c r="H678" s="309"/>
      <c r="I678" s="309"/>
    </row>
    <row r="679">
      <c r="D679" s="309"/>
      <c r="E679" s="309"/>
      <c r="F679" s="309"/>
      <c r="G679" s="309"/>
      <c r="H679" s="309"/>
      <c r="I679" s="309"/>
    </row>
    <row r="680">
      <c r="D680" s="309"/>
      <c r="E680" s="309"/>
      <c r="F680" s="309"/>
      <c r="G680" s="309"/>
      <c r="H680" s="309"/>
      <c r="I680" s="309"/>
    </row>
    <row r="681">
      <c r="D681" s="309"/>
      <c r="E681" s="309"/>
      <c r="F681" s="309"/>
      <c r="G681" s="309"/>
      <c r="H681" s="309"/>
      <c r="I681" s="309"/>
    </row>
    <row r="682">
      <c r="D682" s="309"/>
      <c r="E682" s="309"/>
      <c r="F682" s="309"/>
      <c r="G682" s="309"/>
      <c r="H682" s="309"/>
      <c r="I682" s="309"/>
    </row>
    <row r="683">
      <c r="D683" s="309"/>
      <c r="E683" s="309"/>
      <c r="F683" s="309"/>
      <c r="G683" s="309"/>
      <c r="H683" s="309"/>
      <c r="I683" s="309"/>
    </row>
    <row r="684">
      <c r="D684" s="309"/>
      <c r="E684" s="309"/>
      <c r="F684" s="309"/>
      <c r="G684" s="309"/>
      <c r="H684" s="309"/>
      <c r="I684" s="309"/>
    </row>
    <row r="685">
      <c r="D685" s="309"/>
      <c r="E685" s="309"/>
      <c r="F685" s="309"/>
      <c r="G685" s="309"/>
      <c r="H685" s="309"/>
      <c r="I685" s="309"/>
    </row>
    <row r="686">
      <c r="D686" s="309"/>
      <c r="E686" s="309"/>
      <c r="F686" s="309"/>
      <c r="G686" s="309"/>
      <c r="H686" s="309"/>
      <c r="I686" s="309"/>
    </row>
    <row r="687">
      <c r="D687" s="309"/>
      <c r="E687" s="309"/>
      <c r="F687" s="309"/>
      <c r="G687" s="309"/>
      <c r="H687" s="309"/>
      <c r="I687" s="309"/>
    </row>
    <row r="688">
      <c r="D688" s="309"/>
      <c r="E688" s="309"/>
      <c r="F688" s="309"/>
      <c r="G688" s="309"/>
      <c r="H688" s="309"/>
      <c r="I688" s="309"/>
    </row>
    <row r="689">
      <c r="D689" s="309"/>
      <c r="E689" s="309"/>
      <c r="F689" s="309"/>
      <c r="G689" s="309"/>
      <c r="H689" s="309"/>
      <c r="I689" s="309"/>
    </row>
    <row r="690">
      <c r="D690" s="309"/>
      <c r="E690" s="309"/>
      <c r="F690" s="309"/>
      <c r="G690" s="309"/>
      <c r="H690" s="309"/>
      <c r="I690" s="309"/>
    </row>
    <row r="691">
      <c r="D691" s="309"/>
      <c r="E691" s="309"/>
      <c r="F691" s="309"/>
      <c r="G691" s="309"/>
      <c r="H691" s="309"/>
      <c r="I691" s="309"/>
    </row>
    <row r="692">
      <c r="D692" s="309"/>
      <c r="E692" s="309"/>
      <c r="F692" s="309"/>
      <c r="G692" s="309"/>
      <c r="H692" s="309"/>
      <c r="I692" s="309"/>
    </row>
    <row r="693">
      <c r="D693" s="309"/>
      <c r="E693" s="309"/>
      <c r="F693" s="309"/>
      <c r="G693" s="309"/>
      <c r="H693" s="309"/>
      <c r="I693" s="309"/>
    </row>
    <row r="694">
      <c r="D694" s="309"/>
      <c r="E694" s="309"/>
      <c r="F694" s="309"/>
      <c r="G694" s="309"/>
      <c r="H694" s="309"/>
      <c r="I694" s="309"/>
    </row>
    <row r="695">
      <c r="D695" s="309"/>
      <c r="E695" s="309"/>
      <c r="F695" s="309"/>
      <c r="G695" s="309"/>
      <c r="H695" s="309"/>
      <c r="I695" s="309"/>
    </row>
    <row r="696">
      <c r="D696" s="309"/>
      <c r="E696" s="309"/>
      <c r="F696" s="309"/>
      <c r="G696" s="309"/>
      <c r="H696" s="309"/>
      <c r="I696" s="309"/>
    </row>
    <row r="697">
      <c r="D697" s="309"/>
      <c r="E697" s="309"/>
      <c r="F697" s="309"/>
      <c r="G697" s="309"/>
      <c r="H697" s="309"/>
      <c r="I697" s="309"/>
    </row>
    <row r="698">
      <c r="D698" s="309"/>
      <c r="E698" s="309"/>
      <c r="F698" s="309"/>
      <c r="G698" s="309"/>
      <c r="H698" s="309"/>
      <c r="I698" s="309"/>
    </row>
    <row r="699">
      <c r="D699" s="309"/>
      <c r="E699" s="309"/>
      <c r="F699" s="309"/>
      <c r="G699" s="309"/>
      <c r="H699" s="309"/>
      <c r="I699" s="309"/>
    </row>
    <row r="700">
      <c r="D700" s="309"/>
      <c r="E700" s="309"/>
      <c r="F700" s="309"/>
      <c r="G700" s="309"/>
      <c r="H700" s="309"/>
      <c r="I700" s="309"/>
    </row>
    <row r="701">
      <c r="D701" s="309"/>
      <c r="E701" s="309"/>
      <c r="F701" s="309"/>
      <c r="G701" s="309"/>
      <c r="H701" s="309"/>
      <c r="I701" s="309"/>
    </row>
    <row r="702">
      <c r="D702" s="309"/>
      <c r="E702" s="309"/>
      <c r="F702" s="309"/>
      <c r="G702" s="309"/>
      <c r="H702" s="309"/>
      <c r="I702" s="309"/>
    </row>
    <row r="703">
      <c r="D703" s="309"/>
      <c r="E703" s="309"/>
      <c r="F703" s="309"/>
      <c r="G703" s="309"/>
      <c r="H703" s="309"/>
      <c r="I703" s="309"/>
    </row>
    <row r="704">
      <c r="D704" s="309"/>
      <c r="E704" s="309"/>
      <c r="F704" s="309"/>
      <c r="G704" s="309"/>
      <c r="H704" s="309"/>
      <c r="I704" s="309"/>
    </row>
    <row r="705">
      <c r="D705" s="309"/>
      <c r="E705" s="309"/>
      <c r="F705" s="309"/>
      <c r="G705" s="309"/>
      <c r="H705" s="309"/>
      <c r="I705" s="309"/>
    </row>
    <row r="706">
      <c r="D706" s="309"/>
      <c r="E706" s="309"/>
      <c r="F706" s="309"/>
      <c r="G706" s="309"/>
      <c r="H706" s="309"/>
      <c r="I706" s="309"/>
    </row>
    <row r="707">
      <c r="D707" s="309"/>
      <c r="E707" s="309"/>
      <c r="F707" s="309"/>
      <c r="G707" s="309"/>
      <c r="H707" s="309"/>
      <c r="I707" s="309"/>
    </row>
    <row r="708">
      <c r="D708" s="309"/>
      <c r="E708" s="309"/>
      <c r="F708" s="309"/>
      <c r="G708" s="309"/>
      <c r="H708" s="309"/>
      <c r="I708" s="309"/>
    </row>
    <row r="709">
      <c r="D709" s="309"/>
      <c r="E709" s="309"/>
      <c r="F709" s="309"/>
      <c r="G709" s="309"/>
      <c r="H709" s="309"/>
      <c r="I709" s="309"/>
    </row>
    <row r="710">
      <c r="D710" s="309"/>
      <c r="E710" s="309"/>
      <c r="F710" s="309"/>
      <c r="G710" s="309"/>
      <c r="H710" s="309"/>
      <c r="I710" s="309"/>
    </row>
    <row r="711">
      <c r="D711" s="309"/>
      <c r="E711" s="309"/>
      <c r="F711" s="309"/>
      <c r="G711" s="309"/>
      <c r="H711" s="309"/>
      <c r="I711" s="309"/>
    </row>
    <row r="712">
      <c r="D712" s="309"/>
      <c r="E712" s="309"/>
      <c r="F712" s="309"/>
      <c r="G712" s="309"/>
      <c r="H712" s="309"/>
      <c r="I712" s="309"/>
    </row>
    <row r="713">
      <c r="D713" s="309"/>
      <c r="E713" s="309"/>
      <c r="F713" s="309"/>
      <c r="G713" s="309"/>
      <c r="H713" s="309"/>
      <c r="I713" s="309"/>
    </row>
    <row r="714">
      <c r="D714" s="309"/>
      <c r="E714" s="309"/>
      <c r="F714" s="309"/>
      <c r="G714" s="309"/>
      <c r="H714" s="309"/>
      <c r="I714" s="309"/>
    </row>
    <row r="715">
      <c r="D715" s="309"/>
      <c r="E715" s="309"/>
      <c r="F715" s="309"/>
      <c r="G715" s="309"/>
      <c r="H715" s="309"/>
      <c r="I715" s="309"/>
    </row>
    <row r="716">
      <c r="D716" s="309"/>
      <c r="E716" s="309"/>
      <c r="F716" s="309"/>
      <c r="G716" s="309"/>
      <c r="H716" s="309"/>
      <c r="I716" s="309"/>
    </row>
    <row r="717">
      <c r="D717" s="309"/>
      <c r="E717" s="309"/>
      <c r="F717" s="309"/>
      <c r="G717" s="309"/>
      <c r="H717" s="309"/>
      <c r="I717" s="309"/>
    </row>
    <row r="718">
      <c r="D718" s="309"/>
      <c r="E718" s="309"/>
      <c r="F718" s="309"/>
      <c r="G718" s="309"/>
      <c r="H718" s="309"/>
      <c r="I718" s="309"/>
    </row>
    <row r="719">
      <c r="D719" s="309"/>
      <c r="E719" s="309"/>
      <c r="F719" s="309"/>
      <c r="G719" s="309"/>
      <c r="H719" s="309"/>
      <c r="I719" s="309"/>
    </row>
    <row r="720">
      <c r="D720" s="309"/>
      <c r="E720" s="309"/>
      <c r="F720" s="309"/>
      <c r="G720" s="309"/>
      <c r="H720" s="309"/>
      <c r="I720" s="309"/>
    </row>
    <row r="721">
      <c r="D721" s="309"/>
      <c r="E721" s="309"/>
      <c r="F721" s="309"/>
      <c r="G721" s="309"/>
      <c r="H721" s="309"/>
      <c r="I721" s="309"/>
    </row>
    <row r="722">
      <c r="D722" s="309"/>
      <c r="E722" s="309"/>
      <c r="F722" s="309"/>
      <c r="G722" s="309"/>
      <c r="H722" s="309"/>
      <c r="I722" s="309"/>
    </row>
    <row r="723">
      <c r="D723" s="309"/>
      <c r="E723" s="309"/>
      <c r="F723" s="309"/>
      <c r="G723" s="309"/>
      <c r="H723" s="309"/>
      <c r="I723" s="309"/>
    </row>
    <row r="724">
      <c r="D724" s="309"/>
      <c r="E724" s="309"/>
      <c r="F724" s="309"/>
      <c r="G724" s="309"/>
      <c r="H724" s="309"/>
      <c r="I724" s="309"/>
    </row>
    <row r="725">
      <c r="D725" s="309"/>
      <c r="E725" s="309"/>
      <c r="F725" s="309"/>
      <c r="G725" s="309"/>
      <c r="H725" s="309"/>
      <c r="I725" s="309"/>
    </row>
    <row r="726">
      <c r="D726" s="309"/>
      <c r="E726" s="309"/>
      <c r="F726" s="309"/>
      <c r="G726" s="309"/>
      <c r="H726" s="309"/>
      <c r="I726" s="309"/>
    </row>
    <row r="727">
      <c r="D727" s="309"/>
      <c r="E727" s="309"/>
      <c r="F727" s="309"/>
      <c r="G727" s="309"/>
      <c r="H727" s="309"/>
      <c r="I727" s="309"/>
    </row>
    <row r="728">
      <c r="D728" s="309"/>
      <c r="E728" s="309"/>
      <c r="F728" s="309"/>
      <c r="G728" s="309"/>
      <c r="H728" s="309"/>
      <c r="I728" s="309"/>
    </row>
    <row r="729">
      <c r="D729" s="309"/>
      <c r="E729" s="309"/>
      <c r="F729" s="309"/>
      <c r="G729" s="309"/>
      <c r="H729" s="309"/>
      <c r="I729" s="309"/>
    </row>
    <row r="730">
      <c r="D730" s="309"/>
      <c r="E730" s="309"/>
      <c r="F730" s="309"/>
      <c r="G730" s="309"/>
      <c r="H730" s="309"/>
      <c r="I730" s="309"/>
    </row>
    <row r="731">
      <c r="D731" s="309"/>
      <c r="E731" s="309"/>
      <c r="F731" s="309"/>
      <c r="G731" s="309"/>
      <c r="H731" s="309"/>
      <c r="I731" s="309"/>
    </row>
    <row r="732">
      <c r="D732" s="309"/>
      <c r="E732" s="309"/>
      <c r="F732" s="309"/>
      <c r="G732" s="309"/>
      <c r="H732" s="309"/>
      <c r="I732" s="309"/>
    </row>
    <row r="733">
      <c r="D733" s="309"/>
      <c r="E733" s="309"/>
      <c r="F733" s="309"/>
      <c r="G733" s="309"/>
      <c r="H733" s="309"/>
      <c r="I733" s="309"/>
    </row>
    <row r="734">
      <c r="D734" s="309"/>
      <c r="E734" s="309"/>
      <c r="F734" s="309"/>
      <c r="G734" s="309"/>
      <c r="H734" s="309"/>
      <c r="I734" s="309"/>
    </row>
    <row r="735">
      <c r="D735" s="309"/>
      <c r="E735" s="309"/>
      <c r="F735" s="309"/>
      <c r="G735" s="309"/>
      <c r="H735" s="309"/>
      <c r="I735" s="309"/>
    </row>
    <row r="736">
      <c r="D736" s="309"/>
      <c r="E736" s="309"/>
      <c r="F736" s="309"/>
      <c r="G736" s="309"/>
      <c r="H736" s="309"/>
      <c r="I736" s="309"/>
    </row>
    <row r="737">
      <c r="D737" s="309"/>
      <c r="E737" s="309"/>
      <c r="F737" s="309"/>
      <c r="G737" s="309"/>
      <c r="H737" s="309"/>
      <c r="I737" s="309"/>
    </row>
    <row r="738">
      <c r="D738" s="309"/>
      <c r="E738" s="309"/>
      <c r="F738" s="309"/>
      <c r="G738" s="309"/>
      <c r="H738" s="309"/>
      <c r="I738" s="309"/>
    </row>
    <row r="739">
      <c r="D739" s="309"/>
      <c r="E739" s="309"/>
      <c r="F739" s="309"/>
      <c r="G739" s="309"/>
      <c r="H739" s="309"/>
      <c r="I739" s="309"/>
    </row>
    <row r="740">
      <c r="D740" s="309"/>
      <c r="E740" s="309"/>
      <c r="F740" s="309"/>
      <c r="G740" s="309"/>
      <c r="H740" s="309"/>
      <c r="I740" s="309"/>
    </row>
    <row r="741">
      <c r="D741" s="309"/>
      <c r="E741" s="309"/>
      <c r="F741" s="309"/>
      <c r="G741" s="309"/>
      <c r="H741" s="309"/>
      <c r="I741" s="309"/>
    </row>
    <row r="742">
      <c r="D742" s="309"/>
      <c r="E742" s="309"/>
      <c r="F742" s="309"/>
      <c r="G742" s="309"/>
      <c r="H742" s="309"/>
      <c r="I742" s="309"/>
    </row>
    <row r="743">
      <c r="D743" s="309"/>
      <c r="E743" s="309"/>
      <c r="F743" s="309"/>
      <c r="G743" s="309"/>
      <c r="H743" s="309"/>
      <c r="I743" s="309"/>
    </row>
    <row r="744">
      <c r="D744" s="309"/>
      <c r="E744" s="309"/>
      <c r="F744" s="309"/>
      <c r="G744" s="309"/>
      <c r="H744" s="309"/>
      <c r="I744" s="309"/>
    </row>
    <row r="745">
      <c r="D745" s="309"/>
      <c r="E745" s="309"/>
      <c r="F745" s="309"/>
      <c r="G745" s="309"/>
      <c r="H745" s="309"/>
      <c r="I745" s="309"/>
    </row>
    <row r="746">
      <c r="D746" s="309"/>
      <c r="E746" s="309"/>
      <c r="F746" s="309"/>
      <c r="G746" s="309"/>
      <c r="H746" s="309"/>
      <c r="I746" s="309"/>
    </row>
    <row r="747">
      <c r="D747" s="309"/>
      <c r="E747" s="309"/>
      <c r="F747" s="309"/>
      <c r="G747" s="309"/>
      <c r="H747" s="309"/>
      <c r="I747" s="309"/>
    </row>
    <row r="748">
      <c r="D748" s="309"/>
      <c r="E748" s="309"/>
      <c r="F748" s="309"/>
      <c r="G748" s="309"/>
      <c r="H748" s="309"/>
      <c r="I748" s="309"/>
    </row>
    <row r="749">
      <c r="D749" s="309"/>
      <c r="E749" s="309"/>
      <c r="F749" s="309"/>
      <c r="G749" s="309"/>
      <c r="H749" s="309"/>
      <c r="I749" s="309"/>
    </row>
    <row r="750">
      <c r="D750" s="309"/>
      <c r="E750" s="309"/>
      <c r="F750" s="309"/>
      <c r="G750" s="309"/>
      <c r="H750" s="309"/>
      <c r="I750" s="309"/>
    </row>
    <row r="751">
      <c r="D751" s="309"/>
      <c r="E751" s="309"/>
      <c r="F751" s="309"/>
      <c r="G751" s="309"/>
      <c r="H751" s="309"/>
      <c r="I751" s="309"/>
    </row>
    <row r="752">
      <c r="D752" s="309"/>
      <c r="E752" s="309"/>
      <c r="F752" s="309"/>
      <c r="G752" s="309"/>
      <c r="H752" s="309"/>
      <c r="I752" s="309"/>
    </row>
    <row r="753">
      <c r="D753" s="309"/>
      <c r="E753" s="309"/>
      <c r="F753" s="309"/>
      <c r="G753" s="309"/>
      <c r="H753" s="309"/>
      <c r="I753" s="309"/>
    </row>
    <row r="754">
      <c r="D754" s="309"/>
      <c r="E754" s="309"/>
      <c r="F754" s="309"/>
      <c r="G754" s="309"/>
      <c r="H754" s="309"/>
      <c r="I754" s="309"/>
    </row>
    <row r="755">
      <c r="D755" s="309"/>
      <c r="E755" s="309"/>
      <c r="F755" s="309"/>
      <c r="G755" s="309"/>
      <c r="H755" s="309"/>
      <c r="I755" s="309"/>
    </row>
    <row r="756">
      <c r="D756" s="309"/>
      <c r="E756" s="309"/>
      <c r="F756" s="309"/>
      <c r="G756" s="309"/>
      <c r="H756" s="309"/>
      <c r="I756" s="309"/>
    </row>
    <row r="757">
      <c r="D757" s="309"/>
      <c r="E757" s="309"/>
      <c r="F757" s="309"/>
      <c r="G757" s="309"/>
      <c r="H757" s="309"/>
      <c r="I757" s="309"/>
    </row>
    <row r="758">
      <c r="D758" s="309"/>
      <c r="E758" s="309"/>
      <c r="F758" s="309"/>
      <c r="G758" s="309"/>
      <c r="H758" s="309"/>
      <c r="I758" s="309"/>
    </row>
    <row r="759">
      <c r="D759" s="309"/>
      <c r="E759" s="309"/>
      <c r="F759" s="309"/>
      <c r="G759" s="309"/>
      <c r="H759" s="309"/>
      <c r="I759" s="309"/>
    </row>
    <row r="760">
      <c r="D760" s="309"/>
      <c r="E760" s="309"/>
      <c r="F760" s="309"/>
      <c r="G760" s="309"/>
      <c r="H760" s="309"/>
      <c r="I760" s="309"/>
    </row>
    <row r="761">
      <c r="D761" s="309"/>
      <c r="E761" s="309"/>
      <c r="F761" s="309"/>
      <c r="G761" s="309"/>
      <c r="H761" s="309"/>
      <c r="I761" s="309"/>
    </row>
    <row r="762">
      <c r="D762" s="309"/>
      <c r="E762" s="309"/>
      <c r="F762" s="309"/>
      <c r="G762" s="309"/>
      <c r="H762" s="309"/>
      <c r="I762" s="309"/>
    </row>
    <row r="763">
      <c r="D763" s="309"/>
      <c r="E763" s="309"/>
      <c r="F763" s="309"/>
      <c r="G763" s="309"/>
      <c r="H763" s="309"/>
      <c r="I763" s="309"/>
    </row>
    <row r="764">
      <c r="D764" s="309"/>
      <c r="E764" s="309"/>
      <c r="F764" s="309"/>
      <c r="G764" s="309"/>
      <c r="H764" s="309"/>
      <c r="I764" s="309"/>
    </row>
    <row r="765">
      <c r="D765" s="309"/>
      <c r="E765" s="309"/>
      <c r="F765" s="309"/>
      <c r="G765" s="309"/>
      <c r="H765" s="309"/>
      <c r="I765" s="309"/>
    </row>
    <row r="766">
      <c r="D766" s="309"/>
      <c r="E766" s="309"/>
      <c r="F766" s="309"/>
      <c r="G766" s="309"/>
      <c r="H766" s="309"/>
      <c r="I766" s="309"/>
    </row>
    <row r="767">
      <c r="D767" s="309"/>
      <c r="E767" s="309"/>
      <c r="F767" s="309"/>
      <c r="G767" s="309"/>
      <c r="H767" s="309"/>
      <c r="I767" s="309"/>
    </row>
    <row r="768">
      <c r="D768" s="309"/>
      <c r="E768" s="309"/>
      <c r="F768" s="309"/>
      <c r="G768" s="309"/>
      <c r="H768" s="309"/>
      <c r="I768" s="309"/>
    </row>
    <row r="769">
      <c r="D769" s="309"/>
      <c r="E769" s="309"/>
      <c r="F769" s="309"/>
      <c r="G769" s="309"/>
      <c r="H769" s="309"/>
      <c r="I769" s="309"/>
    </row>
  </sheetData>
  <mergeCells count="302">
    <mergeCell ref="D44:H44"/>
    <mergeCell ref="G45:H45"/>
    <mergeCell ref="G46:H46"/>
    <mergeCell ref="G47:H47"/>
    <mergeCell ref="G48:H48"/>
    <mergeCell ref="E49:H49"/>
    <mergeCell ref="E50:H50"/>
    <mergeCell ref="E51:F51"/>
    <mergeCell ref="E52:F52"/>
    <mergeCell ref="E53:F53"/>
    <mergeCell ref="D54:H54"/>
    <mergeCell ref="G55:H55"/>
    <mergeCell ref="G56:H56"/>
    <mergeCell ref="G57:H57"/>
    <mergeCell ref="C2:I2"/>
    <mergeCell ref="D3:H3"/>
    <mergeCell ref="D4:H4"/>
    <mergeCell ref="G5:H5"/>
    <mergeCell ref="G6:H6"/>
    <mergeCell ref="G7:H7"/>
    <mergeCell ref="G8:H8"/>
    <mergeCell ref="E9:H9"/>
    <mergeCell ref="E10:H10"/>
    <mergeCell ref="E11:F11"/>
    <mergeCell ref="E12:F12"/>
    <mergeCell ref="E13:F13"/>
    <mergeCell ref="D14:H14"/>
    <mergeCell ref="G15:H15"/>
    <mergeCell ref="G16:H16"/>
    <mergeCell ref="G17:H17"/>
    <mergeCell ref="G18:H18"/>
    <mergeCell ref="E19:H19"/>
    <mergeCell ref="E20:H20"/>
    <mergeCell ref="E21:F21"/>
    <mergeCell ref="E22:F22"/>
    <mergeCell ref="E23:F23"/>
    <mergeCell ref="D24:H24"/>
    <mergeCell ref="G25:H25"/>
    <mergeCell ref="G26:H26"/>
    <mergeCell ref="G27:H27"/>
    <mergeCell ref="G28:H28"/>
    <mergeCell ref="E29:H29"/>
    <mergeCell ref="E30:H30"/>
    <mergeCell ref="E31:F31"/>
    <mergeCell ref="E32:F32"/>
    <mergeCell ref="E33:F33"/>
    <mergeCell ref="D34:H34"/>
    <mergeCell ref="G35:H35"/>
    <mergeCell ref="G36:H36"/>
    <mergeCell ref="G37:H37"/>
    <mergeCell ref="G38:H38"/>
    <mergeCell ref="E39:H39"/>
    <mergeCell ref="E40:H40"/>
    <mergeCell ref="E41:F41"/>
    <mergeCell ref="E42:F42"/>
    <mergeCell ref="E43:F43"/>
    <mergeCell ref="G58:H58"/>
    <mergeCell ref="E59:H59"/>
    <mergeCell ref="E60:H60"/>
    <mergeCell ref="E61:F61"/>
    <mergeCell ref="E62:F62"/>
    <mergeCell ref="E63:F63"/>
    <mergeCell ref="D64:H64"/>
    <mergeCell ref="G65:H65"/>
    <mergeCell ref="G66:H66"/>
    <mergeCell ref="G67:H67"/>
    <mergeCell ref="G68:H68"/>
    <mergeCell ref="E69:H69"/>
    <mergeCell ref="E70:H70"/>
    <mergeCell ref="E71:F71"/>
    <mergeCell ref="E72:F72"/>
    <mergeCell ref="E73:F73"/>
    <mergeCell ref="D74:H74"/>
    <mergeCell ref="G75:H75"/>
    <mergeCell ref="G76:H76"/>
    <mergeCell ref="G77:H77"/>
    <mergeCell ref="G78:H78"/>
    <mergeCell ref="E79:H79"/>
    <mergeCell ref="E80:H80"/>
    <mergeCell ref="E81:F81"/>
    <mergeCell ref="E82:F82"/>
    <mergeCell ref="E83:F83"/>
    <mergeCell ref="D84:H84"/>
    <mergeCell ref="G85:H85"/>
    <mergeCell ref="G86:H86"/>
    <mergeCell ref="G87:H87"/>
    <mergeCell ref="G88:H88"/>
    <mergeCell ref="E89:H89"/>
    <mergeCell ref="E90:H90"/>
    <mergeCell ref="E91:F91"/>
    <mergeCell ref="E92:F92"/>
    <mergeCell ref="E93:F93"/>
    <mergeCell ref="D94:H94"/>
    <mergeCell ref="G95:H95"/>
    <mergeCell ref="G96:H96"/>
    <mergeCell ref="G97:H97"/>
    <mergeCell ref="G98:H98"/>
    <mergeCell ref="E99:H99"/>
    <mergeCell ref="E100:H100"/>
    <mergeCell ref="E101:F101"/>
    <mergeCell ref="E102:F102"/>
    <mergeCell ref="E103:F103"/>
    <mergeCell ref="D104:H104"/>
    <mergeCell ref="G105:H105"/>
    <mergeCell ref="G106:H106"/>
    <mergeCell ref="G107:H107"/>
    <mergeCell ref="G108:H108"/>
    <mergeCell ref="E109:H109"/>
    <mergeCell ref="E110:H110"/>
    <mergeCell ref="E111:F111"/>
    <mergeCell ref="E112:F112"/>
    <mergeCell ref="E113:F113"/>
    <mergeCell ref="D114:H114"/>
    <mergeCell ref="G115:H115"/>
    <mergeCell ref="G116:H116"/>
    <mergeCell ref="G117:H117"/>
    <mergeCell ref="G118:H118"/>
    <mergeCell ref="E119:H119"/>
    <mergeCell ref="E120:H120"/>
    <mergeCell ref="E121:F121"/>
    <mergeCell ref="E122:F122"/>
    <mergeCell ref="E123:F123"/>
    <mergeCell ref="D124:H124"/>
    <mergeCell ref="G125:H125"/>
    <mergeCell ref="G126:H126"/>
    <mergeCell ref="G127:H127"/>
    <mergeCell ref="G128:H128"/>
    <mergeCell ref="E129:H129"/>
    <mergeCell ref="E130:H130"/>
    <mergeCell ref="E131:F131"/>
    <mergeCell ref="E132:F132"/>
    <mergeCell ref="E133:F133"/>
    <mergeCell ref="D134:H134"/>
    <mergeCell ref="G135:H135"/>
    <mergeCell ref="G136:H136"/>
    <mergeCell ref="G137:H137"/>
    <mergeCell ref="G138:H138"/>
    <mergeCell ref="E139:H139"/>
    <mergeCell ref="E140:H140"/>
    <mergeCell ref="E141:F141"/>
    <mergeCell ref="E142:F142"/>
    <mergeCell ref="E143:F143"/>
    <mergeCell ref="D144:H144"/>
    <mergeCell ref="G145:H145"/>
    <mergeCell ref="G146:H146"/>
    <mergeCell ref="G147:H147"/>
    <mergeCell ref="G148:H148"/>
    <mergeCell ref="E149:H149"/>
    <mergeCell ref="E150:H150"/>
    <mergeCell ref="E151:F151"/>
    <mergeCell ref="E152:F152"/>
    <mergeCell ref="E153:F153"/>
    <mergeCell ref="D154:H154"/>
    <mergeCell ref="G155:H155"/>
    <mergeCell ref="G156:H156"/>
    <mergeCell ref="G157:H157"/>
    <mergeCell ref="G158:H158"/>
    <mergeCell ref="E159:H159"/>
    <mergeCell ref="E160:H160"/>
    <mergeCell ref="E161:F161"/>
    <mergeCell ref="E162:F162"/>
    <mergeCell ref="E163:F163"/>
    <mergeCell ref="D164:H164"/>
    <mergeCell ref="G165:H165"/>
    <mergeCell ref="G166:H166"/>
    <mergeCell ref="G167:H167"/>
    <mergeCell ref="G168:H168"/>
    <mergeCell ref="E169:H169"/>
    <mergeCell ref="E170:H170"/>
    <mergeCell ref="E171:F171"/>
    <mergeCell ref="E172:F172"/>
    <mergeCell ref="E173:F173"/>
    <mergeCell ref="D174:H174"/>
    <mergeCell ref="G175:H175"/>
    <mergeCell ref="G176:H176"/>
    <mergeCell ref="G177:H177"/>
    <mergeCell ref="G178:H178"/>
    <mergeCell ref="E179:H179"/>
    <mergeCell ref="E180:H180"/>
    <mergeCell ref="E181:F181"/>
    <mergeCell ref="E182:F182"/>
    <mergeCell ref="E183:F183"/>
    <mergeCell ref="D184:H184"/>
    <mergeCell ref="G185:H185"/>
    <mergeCell ref="G186:H186"/>
    <mergeCell ref="G187:H187"/>
    <mergeCell ref="G188:H188"/>
    <mergeCell ref="E189:H189"/>
    <mergeCell ref="E190:H190"/>
    <mergeCell ref="E191:F191"/>
    <mergeCell ref="E192:F192"/>
    <mergeCell ref="E193:F193"/>
    <mergeCell ref="D194:H194"/>
    <mergeCell ref="G195:H195"/>
    <mergeCell ref="G196:H196"/>
    <mergeCell ref="G197:H197"/>
    <mergeCell ref="G198:H198"/>
    <mergeCell ref="E199:H199"/>
    <mergeCell ref="E200:H200"/>
    <mergeCell ref="E201:F201"/>
    <mergeCell ref="E202:F202"/>
    <mergeCell ref="E203:F203"/>
    <mergeCell ref="D204:H204"/>
    <mergeCell ref="G205:H205"/>
    <mergeCell ref="G206:H206"/>
    <mergeCell ref="G207:H207"/>
    <mergeCell ref="G208:H208"/>
    <mergeCell ref="E209:H209"/>
    <mergeCell ref="E210:H210"/>
    <mergeCell ref="E211:F211"/>
    <mergeCell ref="D254:H254"/>
    <mergeCell ref="G255:H255"/>
    <mergeCell ref="G256:H256"/>
    <mergeCell ref="G257:H257"/>
    <mergeCell ref="G258:H258"/>
    <mergeCell ref="E259:H259"/>
    <mergeCell ref="E260:H260"/>
    <mergeCell ref="E261:F261"/>
    <mergeCell ref="E262:F262"/>
    <mergeCell ref="E263:F263"/>
    <mergeCell ref="D264:H264"/>
    <mergeCell ref="G265:H265"/>
    <mergeCell ref="G266:H266"/>
    <mergeCell ref="G267:H267"/>
    <mergeCell ref="G275:H275"/>
    <mergeCell ref="G276:H276"/>
    <mergeCell ref="G277:H277"/>
    <mergeCell ref="G278:H278"/>
    <mergeCell ref="E279:H279"/>
    <mergeCell ref="E280:H280"/>
    <mergeCell ref="E281:F281"/>
    <mergeCell ref="E282:F282"/>
    <mergeCell ref="E283:F283"/>
    <mergeCell ref="D284:H284"/>
    <mergeCell ref="G285:H285"/>
    <mergeCell ref="G286:H286"/>
    <mergeCell ref="G287:H287"/>
    <mergeCell ref="G288:H288"/>
    <mergeCell ref="G296:H296"/>
    <mergeCell ref="G297:H297"/>
    <mergeCell ref="G298:H298"/>
    <mergeCell ref="E299:H299"/>
    <mergeCell ref="E300:H300"/>
    <mergeCell ref="E301:F301"/>
    <mergeCell ref="E302:F302"/>
    <mergeCell ref="E303:F303"/>
    <mergeCell ref="E289:H289"/>
    <mergeCell ref="E290:H290"/>
    <mergeCell ref="E291:F291"/>
    <mergeCell ref="E292:F292"/>
    <mergeCell ref="E293:F293"/>
    <mergeCell ref="D294:H294"/>
    <mergeCell ref="G295:H295"/>
    <mergeCell ref="E212:F212"/>
    <mergeCell ref="E213:F213"/>
    <mergeCell ref="D214:H214"/>
    <mergeCell ref="G215:H215"/>
    <mergeCell ref="G216:H216"/>
    <mergeCell ref="G217:H217"/>
    <mergeCell ref="G218:H218"/>
    <mergeCell ref="E219:H219"/>
    <mergeCell ref="E220:H220"/>
    <mergeCell ref="E221:F221"/>
    <mergeCell ref="E222:F222"/>
    <mergeCell ref="E223:F223"/>
    <mergeCell ref="D224:H224"/>
    <mergeCell ref="G225:H225"/>
    <mergeCell ref="G226:H226"/>
    <mergeCell ref="G227:H227"/>
    <mergeCell ref="G228:H228"/>
    <mergeCell ref="E229:H229"/>
    <mergeCell ref="E230:H230"/>
    <mergeCell ref="E231:F231"/>
    <mergeCell ref="E232:F232"/>
    <mergeCell ref="E233:F233"/>
    <mergeCell ref="D234:H234"/>
    <mergeCell ref="G235:H235"/>
    <mergeCell ref="G236:H236"/>
    <mergeCell ref="G237:H237"/>
    <mergeCell ref="G238:H238"/>
    <mergeCell ref="E239:H239"/>
    <mergeCell ref="E240:H240"/>
    <mergeCell ref="E241:F241"/>
    <mergeCell ref="E242:F242"/>
    <mergeCell ref="E243:F243"/>
    <mergeCell ref="D244:H244"/>
    <mergeCell ref="G245:H245"/>
    <mergeCell ref="G246:H246"/>
    <mergeCell ref="G247:H247"/>
    <mergeCell ref="G248:H248"/>
    <mergeCell ref="E249:H249"/>
    <mergeCell ref="E250:H250"/>
    <mergeCell ref="E251:F251"/>
    <mergeCell ref="E252:F252"/>
    <mergeCell ref="E253:F253"/>
    <mergeCell ref="G268:H268"/>
    <mergeCell ref="E269:H269"/>
    <mergeCell ref="E270:H270"/>
    <mergeCell ref="E271:F271"/>
    <mergeCell ref="E272:F272"/>
    <mergeCell ref="E273:F273"/>
    <mergeCell ref="D274:H274"/>
  </mergeCells>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3" priority="1" operator="equal">
      <formula>"A"</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4" priority="2" operator="equal">
      <formula>"B"</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5" priority="3" operator="equal">
      <formula>"C1"</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6" priority="4" operator="equal">
      <formula>"C2"</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7" priority="5" operator="equal">
      <formula>"D"</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8" priority="6" operator="equal">
      <formula>"R"</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9" priority="7" operator="equal">
      <formula>"N"</formula>
    </cfRule>
  </conditionalFormatting>
  <printOptions gridLines="1" horizontalCentered="1"/>
  <pageMargins bottom="0.75" footer="0.0" header="0.0" left="0.7" right="0.7" top="0.75"/>
  <pageSetup fitToHeight="0" paperSize="9" cellComments="atEnd" orientation="portrait" pageOrder="overThenDown"/>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1" width="4.25"/>
    <col customWidth="1" hidden="1" min="2" max="2" width="7.13"/>
    <col customWidth="1" min="3" max="3" width="1.75"/>
    <col customWidth="1" min="4" max="8" width="6.38"/>
    <col customWidth="1" min="9" max="9" width="0.38"/>
  </cols>
  <sheetData>
    <row r="1" ht="25.5" hidden="1" customHeight="1"/>
    <row r="2" ht="6.0" customHeight="1">
      <c r="B2" s="268"/>
      <c r="C2" s="268"/>
    </row>
    <row r="3" ht="48.0" customHeight="1">
      <c r="D3" s="315" t="s">
        <v>118</v>
      </c>
    </row>
    <row r="4" ht="20.25" customHeight="1">
      <c r="D4" s="270">
        <f>NOW()</f>
        <v>46082.17201</v>
      </c>
    </row>
    <row r="5" ht="27.0" customHeight="1">
      <c r="A5" s="86" t="s">
        <v>70</v>
      </c>
      <c r="B5" s="86">
        <v>1.0</v>
      </c>
      <c r="D5" s="271" t="s">
        <v>80</v>
      </c>
      <c r="E5" s="272" t="s">
        <v>81</v>
      </c>
      <c r="F5" s="272" t="s">
        <v>82</v>
      </c>
      <c r="G5" s="273" t="s">
        <v>49</v>
      </c>
      <c r="H5" s="274"/>
    </row>
    <row r="6" ht="27.0" customHeight="1">
      <c r="A6" s="86"/>
      <c r="B6" s="86" t="s">
        <v>116</v>
      </c>
      <c r="D6" s="275">
        <f t="array" ref="D6">IFERROR(INDEX('計測入力シート（ここのみ編集可）'!$BN$17:$BN$116,MATCH(A5&amp;B5,'計測入力シート（ここのみ編集可）'!$BO$17:$BO$116,0)),"")</f>
        <v>1</v>
      </c>
      <c r="E6" s="276" t="str">
        <f t="array" ref="E6">IFERROR(INDEX('計測入力シート（ここのみ編集可）'!$BP$17:$BP$116,MATCH(A5&amp;B5,'計測入力シート（ここのみ編集可）'!$BO$17:$BO$116,0)),"")</f>
        <v>-</v>
      </c>
      <c r="F6" s="277">
        <f t="array" ref="F6">IFERROR(INDEX('計測入力シート（ここのみ編集可）'!$BR$17:$BR$116,MATCH(A5&amp;B5,'計測入力シート（ここのみ編集可）'!$BO$17:$BO$116,0)),"")</f>
        <v>1</v>
      </c>
      <c r="G6" s="278">
        <f t="array" ref="G6">IFERROR(INDEX('計測入力シート（ここのみ編集可）'!$BL$17:$BL$116,MATCH(A5&amp;B5,'計測入力シート（ここのみ編集可）'!$BO$17:$BO$116,0)),"")</f>
        <v>27</v>
      </c>
      <c r="H6" s="279"/>
    </row>
    <row r="7" ht="27.0" customHeight="1">
      <c r="D7" s="280" t="s">
        <v>2</v>
      </c>
      <c r="E7" s="281">
        <f t="array" ref="E7">IFERROR(INDEX('計測入力シート（ここのみ編集可）'!$C$17:$C$116,MATCH(A5&amp;B5,'計測入力シート（ここのみ編集可）'!$BO$17:$BO$116,0)),"")</f>
        <v>27</v>
      </c>
      <c r="F7" s="282" t="s">
        <v>17</v>
      </c>
      <c r="G7" s="283" t="str">
        <f t="array" ref="G7">IFERROR(INDEX('計測入力シート（ここのみ編集可）'!$D$17:$D$116,MATCH(A5&amp;B5,'計測入力シート（ここのみ編集可）'!$BO$17:$BO$116,0)),"")</f>
        <v>はるか</v>
      </c>
      <c r="H7" s="284"/>
    </row>
    <row r="8" ht="27.0" customHeight="1">
      <c r="D8" s="285" t="s">
        <v>1</v>
      </c>
      <c r="E8" s="286" t="str">
        <f t="array" ref="E8">IFERROR(INDEX('計測入力シート（ここのみ編集可）'!$B$17:$B$116,MATCH(A5&amp;B5,'計測入力シート（ここのみ編集可）'!$BO$17:$BO$116,0)),"")</f>
        <v>N</v>
      </c>
      <c r="F8" s="287" t="s">
        <v>18</v>
      </c>
      <c r="G8" s="288" t="str">
        <f t="array" ref="G8">IFERROR(INDEX('計測入力シート（ここのみ編集可）'!$E$17:$E$116,MATCH(A5&amp;B5,'計測入力シート（ここのみ編集可）'!$BO$17:$BO$116,0)),"")</f>
        <v>GROM</v>
      </c>
      <c r="H8" s="289"/>
    </row>
    <row r="9" ht="24.75" customHeight="1">
      <c r="D9" s="290" t="s">
        <v>92</v>
      </c>
      <c r="E9" s="291" t="str">
        <f t="array" ref="E9">IFERROR(INDEX(#REF!,MATCH(A5&amp;B5,'計測入力シート（ここのみ編集可）'!$BO$17:$BO$116,0)),"")</f>
        <v/>
      </c>
      <c r="H9" s="232"/>
    </row>
    <row r="10" ht="52.5" customHeight="1">
      <c r="D10" s="292" t="s">
        <v>100</v>
      </c>
      <c r="E10" s="293" t="str">
        <f t="array" ref="E10">IFERROR(INDEX(#REF!,MATCH(A5&amp;B5,'計測入力シート（ここのみ編集可）'!$BO$17:$BO$116,0)),"")</f>
        <v/>
      </c>
      <c r="F10" s="95"/>
      <c r="G10" s="95"/>
      <c r="H10" s="96"/>
    </row>
    <row r="11" ht="20.25" customHeight="1">
      <c r="D11" s="294" t="s">
        <v>39</v>
      </c>
      <c r="E11" s="295" t="str">
        <f t="array" ref="E11">IFERROR(INDEX('計測入力シート（ここのみ編集可）'!$AW$17:$AW$116,MATCH(A5&amp;B5,'計測入力シート（ここのみ編集可）'!$BO$17:$BO$116,0)),"")</f>
        <v>1:52:831</v>
      </c>
      <c r="F11" s="296"/>
      <c r="G11" s="297" t="s">
        <v>110</v>
      </c>
      <c r="H11" s="298" t="str">
        <f t="array" ref="H11">IFERROR(INDEX('計測入力シート（ここのみ編集可）'!$AY$17:$AY$116,MATCH(A5&amp;B5,'計測入力シート（ここのみ編集可）'!$BO$17:$BO$116,0)),"")</f>
        <v>-</v>
      </c>
    </row>
    <row r="12" ht="20.25" customHeight="1">
      <c r="D12" s="299" t="s">
        <v>42</v>
      </c>
      <c r="E12" s="300" t="str">
        <f t="array" ref="E12">IFERROR(INDEX('計測入力シート（ここのみ編集可）'!$AZ$17:$AZ$116,MATCH(A5&amp;B5,'計測入力シート（ここのみ編集可）'!$BO$17:$BO$116,0)),"")</f>
        <v>9:99:999</v>
      </c>
      <c r="F12" s="116"/>
      <c r="G12" s="301" t="s">
        <v>111</v>
      </c>
      <c r="H12" s="302" t="str">
        <f t="array" ref="H12">IFERROR(INDEX('計測入力シート（ここのみ編集可）'!$BB$17:$BB$116,MATCH(A5&amp;B5,'計測入力シート（ここのみ編集可）'!$BO$17:$BO$116,0)),"")</f>
        <v>MC</v>
      </c>
    </row>
    <row r="13" ht="20.25" customHeight="1">
      <c r="D13" s="303" t="s">
        <v>112</v>
      </c>
      <c r="E13" s="304" t="str">
        <f t="array" ref="E13">IFERROR(INDEX('計測入力シート（ここのみ編集可）'!$BC$17:$BC$116,MATCH(A5&amp;B5,'計測入力シート（ここのみ編集可）'!$BO$17:$BO$116,0)),"")</f>
        <v>1:52:831</v>
      </c>
      <c r="F13" s="305"/>
      <c r="G13" s="306" t="s">
        <v>25</v>
      </c>
      <c r="H13" s="307">
        <f t="array" ref="H13">IFERROR(INDEX('計測入力シート（ここのみ編集可）'!$BD$17:$BD$116,MATCH(A5&amp;B5,'計測入力シート（ここのみ編集可）'!$BO$17:$BO$116,0)),"")</f>
        <v>1.155984263</v>
      </c>
    </row>
    <row r="14" ht="20.25" customHeight="1">
      <c r="D14" s="308"/>
    </row>
    <row r="15" ht="27.0" customHeight="1">
      <c r="A15" s="52" t="str">
        <f>A5</f>
        <v>N</v>
      </c>
      <c r="B15" s="52">
        <f>B5+1</f>
        <v>2</v>
      </c>
      <c r="D15" s="271" t="s">
        <v>80</v>
      </c>
      <c r="E15" s="272" t="s">
        <v>81</v>
      </c>
      <c r="F15" s="272" t="s">
        <v>82</v>
      </c>
      <c r="G15" s="273" t="s">
        <v>49</v>
      </c>
      <c r="H15" s="274"/>
    </row>
    <row r="16" ht="27.0" customHeight="1">
      <c r="A16" s="86"/>
      <c r="B16" s="86"/>
      <c r="D16" s="275">
        <f t="array" ref="D16">IFERROR(INDEX('計測入力シート（ここのみ編集可）'!$BN$17:$BN$116,MATCH(A15&amp;B15,'計測入力シート（ここのみ編集可）'!$BO$17:$BO$116,0)),"")</f>
        <v>2</v>
      </c>
      <c r="E16" s="276" t="str">
        <f t="array" ref="E16">IFERROR(INDEX('計測入力シート（ここのみ編集可）'!$BP$17:$BP$116,MATCH(A15&amp;B15,'計測入力シート（ここのみ編集可）'!$BO$17:$BO$116,0)),"")</f>
        <v>-</v>
      </c>
      <c r="F16" s="277">
        <f t="array" ref="F16">IFERROR(INDEX('計測入力シート（ここのみ編集可）'!$BR$17:$BR$116,MATCH(A15&amp;B15,'計測入力シート（ここのみ編集可）'!$BO$17:$BO$116,0)),"")</f>
        <v>2</v>
      </c>
      <c r="G16" s="278">
        <f t="array" ref="G16">IFERROR(INDEX('計測入力シート（ここのみ編集可）'!$BL$17:$BL$116,MATCH(A15&amp;B15,'計測入力シート（ここのみ編集可）'!$BO$17:$BO$116,0)),"")</f>
        <v>32</v>
      </c>
      <c r="H16" s="279"/>
    </row>
    <row r="17" ht="27.0" customHeight="1">
      <c r="D17" s="280" t="s">
        <v>2</v>
      </c>
      <c r="E17" s="281">
        <f t="array" ref="E17">IFERROR(INDEX('計測入力シート（ここのみ編集可）'!$C$17:$C$116,MATCH(A15&amp;B15,'計測入力シート（ここのみ編集可）'!$BO$17:$BO$116,0)),"")</f>
        <v>20</v>
      </c>
      <c r="F17" s="282" t="s">
        <v>17</v>
      </c>
      <c r="G17" s="283" t="str">
        <f t="array" ref="G17">IFERROR(INDEX('計測入力シート（ここのみ編集可）'!$D$17:$D$116,MATCH(A15&amp;B15,'計測入力シート（ここのみ編集可）'!$BO$17:$BO$116,0)),"")</f>
        <v>S hin</v>
      </c>
      <c r="H17" s="284"/>
    </row>
    <row r="18" ht="27.0" customHeight="1">
      <c r="D18" s="285" t="s">
        <v>1</v>
      </c>
      <c r="E18" s="286" t="str">
        <f t="array" ref="E18">IFERROR(INDEX('計測入力シート（ここのみ編集可）'!$B$17:$B$116,MATCH(A15&amp;B15,'計測入力シート（ここのみ編集可）'!$BO$17:$BO$116,0)),"")</f>
        <v>N</v>
      </c>
      <c r="F18" s="287" t="s">
        <v>18</v>
      </c>
      <c r="G18" s="288" t="str">
        <f t="array" ref="G18">IFERROR(INDEX('計測入力シート（ここのみ編集可）'!$E$17:$E$116,MATCH(A15&amp;B15,'計測入力シート（ここのみ編集可）'!$BO$17:$BO$116,0)),"")</f>
        <v>GROM</v>
      </c>
      <c r="H18" s="289"/>
    </row>
    <row r="19" ht="24.75" customHeight="1">
      <c r="D19" s="290" t="s">
        <v>92</v>
      </c>
      <c r="E19" s="291" t="str">
        <f t="array" ref="E19">IFERROR(INDEX(#REF!,MATCH(A15&amp;B15,'計測入力シート（ここのみ編集可）'!$BO$17:$BO$116,0)),"")</f>
        <v/>
      </c>
      <c r="H19" s="232"/>
    </row>
    <row r="20" ht="52.5" customHeight="1">
      <c r="D20" s="292" t="s">
        <v>100</v>
      </c>
      <c r="E20" s="293" t="str">
        <f t="array" ref="E20">IFERROR(INDEX(#REF!,MATCH(A15&amp;B15,'計測入力シート（ここのみ編集可）'!$BO$17:$BO$116,0)),"")</f>
        <v/>
      </c>
      <c r="F20" s="95"/>
      <c r="G20" s="95"/>
      <c r="H20" s="96"/>
    </row>
    <row r="21" ht="20.25" customHeight="1">
      <c r="D21" s="294" t="s">
        <v>39</v>
      </c>
      <c r="E21" s="295" t="str">
        <f t="array" ref="E21">IFERROR(INDEX('計測入力シート（ここのみ編集可）'!$AW$17:$AW$116,MATCH(A15&amp;B15,'計測入力シート（ここのみ編集可）'!$BO$17:$BO$116,0)),"")</f>
        <v>1:58:934</v>
      </c>
      <c r="F21" s="296"/>
      <c r="G21" s="297" t="s">
        <v>110</v>
      </c>
      <c r="H21" s="298" t="str">
        <f t="array" ref="H21">IFERROR(INDEX('計測入力シート（ここのみ編集可）'!$AY$17:$AY$116,MATCH(A15&amp;B15,'計測入力シート（ここのみ編集可）'!$BO$17:$BO$116,0)),"")</f>
        <v>-</v>
      </c>
    </row>
    <row r="22" ht="20.25" customHeight="1">
      <c r="D22" s="299" t="s">
        <v>42</v>
      </c>
      <c r="E22" s="300" t="str">
        <f t="array" ref="E22">IFERROR(INDEX('計測入力シート（ここのみ編集可）'!$AZ$17:$AZ$116,MATCH(A15&amp;B15,'計測入力シート（ここのみ編集可）'!$BO$17:$BO$116,0)),"")</f>
        <v>1:55:826</v>
      </c>
      <c r="F22" s="116"/>
      <c r="G22" s="301" t="s">
        <v>111</v>
      </c>
      <c r="H22" s="302">
        <f t="array" ref="H22">IFERROR(INDEX('計測入力シート（ここのみ編集可）'!$BB$17:$BB$116,MATCH(A15&amp;B15,'計測入力シート（ここのみ編集可）'!$BO$17:$BO$116,0)),"")</f>
        <v>1</v>
      </c>
    </row>
    <row r="23" ht="20.25" customHeight="1">
      <c r="D23" s="303" t="s">
        <v>112</v>
      </c>
      <c r="E23" s="304" t="str">
        <f t="array" ref="E23">IFERROR(INDEX('計測入力シート（ここのみ編集可）'!$BC$17:$BC$116,MATCH(A15&amp;B15,'計測入力シート（ここのみ編集可）'!$BO$17:$BO$116,0)),"")</f>
        <v>1:56:826</v>
      </c>
      <c r="F23" s="305"/>
      <c r="G23" s="306" t="s">
        <v>25</v>
      </c>
      <c r="H23" s="307">
        <f t="array" ref="H23">IFERROR(INDEX('計測入力シート（ここのみ編集可）'!$BD$17:$BD$116,MATCH(A15&amp;B15,'計測入力シート（ここのみ編集可）'!$BO$17:$BO$116,0)),"")</f>
        <v>1.196914124</v>
      </c>
    </row>
    <row r="24" ht="20.25" customHeight="1">
      <c r="D24" s="308"/>
    </row>
    <row r="25" ht="27.0" customHeight="1">
      <c r="A25" s="52" t="str">
        <f>A15</f>
        <v>N</v>
      </c>
      <c r="B25" s="52">
        <f>B15+1</f>
        <v>3</v>
      </c>
      <c r="D25" s="271" t="s">
        <v>80</v>
      </c>
      <c r="E25" s="272" t="s">
        <v>81</v>
      </c>
      <c r="F25" s="272" t="s">
        <v>82</v>
      </c>
      <c r="G25" s="273" t="s">
        <v>49</v>
      </c>
      <c r="H25" s="274"/>
    </row>
    <row r="26" ht="27.0" customHeight="1">
      <c r="A26" s="86"/>
      <c r="B26" s="86"/>
      <c r="D26" s="275">
        <f t="array" ref="D26">IFERROR(INDEX('計測入力シート（ここのみ編集可）'!$BN$17:$BN$116,MATCH(A25&amp;B25,'計測入力シート（ここのみ編集可）'!$BO$17:$BO$116,0)),"")</f>
        <v>3</v>
      </c>
      <c r="E26" s="276" t="str">
        <f t="array" ref="E26">IFERROR(INDEX('計測入力シート（ここのみ編集可）'!$BP$17:$BP$116,MATCH(A25&amp;B25,'計測入力シート（ここのみ編集可）'!$BO$17:$BO$116,0)),"")</f>
        <v>-</v>
      </c>
      <c r="F26" s="277" t="str">
        <f t="array" ref="F26">IFERROR(INDEX('計測入力シート（ここのみ編集可）'!$BR$17:$BR$116,MATCH(A25&amp;B25,'計測入力シート（ここのみ編集可）'!$BO$17:$BO$116,0)),"")</f>
        <v>-</v>
      </c>
      <c r="G26" s="278">
        <f t="array" ref="G26">IFERROR(INDEX('計測入力シート（ここのみ編集可）'!$BL$17:$BL$116,MATCH(A25&amp;B25,'計測入力シート（ここのみ編集可）'!$BO$17:$BO$116,0)),"")</f>
        <v>33</v>
      </c>
      <c r="H26" s="279"/>
    </row>
    <row r="27" ht="27.0" customHeight="1">
      <c r="D27" s="280" t="s">
        <v>2</v>
      </c>
      <c r="E27" s="281">
        <f t="array" ref="E27">IFERROR(INDEX('計測入力シート（ここのみ編集可）'!$C$17:$C$116,MATCH(A25&amp;B25,'計測入力シート（ここのみ編集可）'!$BO$17:$BO$116,0)),"")</f>
        <v>18</v>
      </c>
      <c r="F27" s="282" t="s">
        <v>17</v>
      </c>
      <c r="G27" s="283" t="str">
        <f t="array" ref="G27">IFERROR(INDEX('計測入力シート（ここのみ編集可）'!$D$17:$D$116,MATCH(A25&amp;B25,'計測入力シート（ここのみ編集可）'!$BO$17:$BO$116,0)),"")</f>
        <v>みつい</v>
      </c>
      <c r="H27" s="284"/>
    </row>
    <row r="28" ht="27.0" customHeight="1">
      <c r="D28" s="285" t="s">
        <v>1</v>
      </c>
      <c r="E28" s="286" t="str">
        <f t="array" ref="E28">IFERROR(INDEX('計測入力シート（ここのみ編集可）'!$B$17:$B$116,MATCH(A25&amp;B25,'計測入力シート（ここのみ編集可）'!$BO$17:$BO$116,0)),"")</f>
        <v>N</v>
      </c>
      <c r="F28" s="287" t="s">
        <v>18</v>
      </c>
      <c r="G28" s="288" t="str">
        <f t="array" ref="G28">IFERROR(INDEX('計測入力シート（ここのみ編集可）'!$E$17:$E$116,MATCH(A25&amp;B25,'計測入力シート（ここのみ編集可）'!$BO$17:$BO$116,0)),"")</f>
        <v>GSX250R</v>
      </c>
      <c r="H28" s="289"/>
    </row>
    <row r="29" ht="24.75" customHeight="1">
      <c r="D29" s="290" t="s">
        <v>92</v>
      </c>
      <c r="E29" s="291" t="str">
        <f t="array" ref="E29">IFERROR(INDEX(#REF!,MATCH(A25&amp;B25,'計測入力シート（ここのみ編集可）'!$BO$17:$BO$116,0)),"")</f>
        <v/>
      </c>
      <c r="H29" s="232"/>
    </row>
    <row r="30" ht="52.5" customHeight="1">
      <c r="D30" s="292" t="s">
        <v>100</v>
      </c>
      <c r="E30" s="293" t="str">
        <f t="array" ref="E30">IFERROR(INDEX(#REF!,MATCH(A25&amp;B25,'計測入力シート（ここのみ編集可）'!$BO$17:$BO$116,0)),"")</f>
        <v/>
      </c>
      <c r="F30" s="95"/>
      <c r="G30" s="95"/>
      <c r="H30" s="96"/>
    </row>
    <row r="31" ht="20.25" customHeight="1">
      <c r="D31" s="294" t="s">
        <v>39</v>
      </c>
      <c r="E31" s="295" t="str">
        <f t="array" ref="E31">IFERROR(INDEX('計測入力シート（ここのみ編集可）'!$AW$17:$AW$116,MATCH(A25&amp;B25,'計測入力シート（ここのみ編集可）'!$BO$17:$BO$116,0)),"")</f>
        <v>1:57:304</v>
      </c>
      <c r="F31" s="296"/>
      <c r="G31" s="297" t="s">
        <v>110</v>
      </c>
      <c r="H31" s="298" t="str">
        <f t="array" ref="H31">IFERROR(INDEX('計測入力シート（ここのみ編集可）'!$AY$17:$AY$116,MATCH(A25&amp;B25,'計測入力シート（ここのみ編集可）'!$BO$17:$BO$116,0)),"")</f>
        <v>-</v>
      </c>
    </row>
    <row r="32" ht="20.25" customHeight="1">
      <c r="D32" s="299" t="s">
        <v>42</v>
      </c>
      <c r="E32" s="300" t="str">
        <f t="array" ref="E32">IFERROR(INDEX('計測入力シート（ここのみ編集可）'!$AZ$17:$AZ$116,MATCH(A25&amp;B25,'計測入力シート（ここのみ編集可）'!$BO$17:$BO$116,0)),"")</f>
        <v>1:57:244</v>
      </c>
      <c r="F32" s="116"/>
      <c r="G32" s="301" t="s">
        <v>111</v>
      </c>
      <c r="H32" s="302">
        <f t="array" ref="H32">IFERROR(INDEX('計測入力シート（ここのみ編集可）'!$BB$17:$BB$116,MATCH(A25&amp;B25,'計測入力シート（ここのみ編集可）'!$BO$17:$BO$116,0)),"")</f>
        <v>1</v>
      </c>
    </row>
    <row r="33" ht="20.25" customHeight="1">
      <c r="D33" s="303" t="s">
        <v>112</v>
      </c>
      <c r="E33" s="304" t="str">
        <f t="array" ref="E33">IFERROR(INDEX('計測入力シート（ここのみ編集可）'!$BC$17:$BC$116,MATCH(A25&amp;B25,'計測入力シート（ここのみ編集可）'!$BO$17:$BO$116,0)),"")</f>
        <v>1:57:304</v>
      </c>
      <c r="F33" s="305"/>
      <c r="G33" s="306" t="s">
        <v>25</v>
      </c>
      <c r="H33" s="307">
        <f t="array" ref="H33">IFERROR(INDEX('計測入力シート（ここのみ編集可）'!$BD$17:$BD$116,MATCH(A25&amp;B25,'計測入力シート（ここのみ編集可）'!$BO$17:$BO$116,0)),"")</f>
        <v>1.201811364</v>
      </c>
    </row>
    <row r="34" ht="20.25" customHeight="1">
      <c r="D34" s="308"/>
    </row>
    <row r="35" ht="27.0" customHeight="1">
      <c r="A35" s="52" t="str">
        <f>A25</f>
        <v>N</v>
      </c>
      <c r="B35" s="52">
        <f>B25+1</f>
        <v>4</v>
      </c>
      <c r="D35" s="271" t="s">
        <v>80</v>
      </c>
      <c r="E35" s="272" t="s">
        <v>81</v>
      </c>
      <c r="F35" s="272" t="s">
        <v>82</v>
      </c>
      <c r="G35" s="273" t="s">
        <v>49</v>
      </c>
      <c r="H35" s="274"/>
    </row>
    <row r="36" ht="27.0" customHeight="1">
      <c r="A36" s="86"/>
      <c r="B36" s="86"/>
      <c r="D36" s="275">
        <f t="array" ref="D36">IFERROR(INDEX('計測入力シート（ここのみ編集可）'!$BN$17:$BN$116,MATCH(A35&amp;B35,'計測入力シート（ここのみ編集可）'!$BO$17:$BO$116,0)),"")</f>
        <v>4</v>
      </c>
      <c r="E36" s="276" t="str">
        <f t="array" ref="E36">IFERROR(INDEX('計測入力シート（ここのみ編集可）'!$BP$17:$BP$116,MATCH(A35&amp;B35,'計測入力シート（ここのみ編集可）'!$BO$17:$BO$116,0)),"")</f>
        <v>-</v>
      </c>
      <c r="F36" s="277" t="str">
        <f t="array" ref="F36">IFERROR(INDEX('計測入力シート（ここのみ編集可）'!$BR$17:$BR$116,MATCH(A35&amp;B35,'計測入力シート（ここのみ編集可）'!$BO$17:$BO$116,0)),"")</f>
        <v>-</v>
      </c>
      <c r="G36" s="278">
        <f t="array" ref="G36">IFERROR(INDEX('計測入力シート（ここのみ編集可）'!$BL$17:$BL$116,MATCH(A35&amp;B35,'計測入力シート（ここのみ編集可）'!$BO$17:$BO$116,0)),"")</f>
        <v>39</v>
      </c>
      <c r="H36" s="279"/>
    </row>
    <row r="37" ht="27.0" customHeight="1">
      <c r="D37" s="280" t="s">
        <v>2</v>
      </c>
      <c r="E37" s="281">
        <f t="array" ref="E37">IFERROR(INDEX('計測入力シート（ここのみ編集可）'!$C$17:$C$116,MATCH(A35&amp;B35,'計測入力シート（ここのみ編集可）'!$BO$17:$BO$116,0)),"")</f>
        <v>22</v>
      </c>
      <c r="F37" s="282" t="s">
        <v>17</v>
      </c>
      <c r="G37" s="283" t="str">
        <f t="array" ref="G37">IFERROR(INDEX('計測入力シート（ここのみ編集可）'!$D$17:$D$116,MATCH(A35&amp;B35,'計測入力シート（ここのみ編集可）'!$BO$17:$BO$116,0)),"")</f>
        <v>まる</v>
      </c>
      <c r="H37" s="284"/>
    </row>
    <row r="38" ht="27.0" customHeight="1">
      <c r="D38" s="285" t="s">
        <v>1</v>
      </c>
      <c r="E38" s="286" t="str">
        <f t="array" ref="E38">IFERROR(INDEX('計測入力シート（ここのみ編集可）'!$B$17:$B$116,MATCH(A35&amp;B35,'計測入力シート（ここのみ編集可）'!$BO$17:$BO$116,0)),"")</f>
        <v>N</v>
      </c>
      <c r="F38" s="287" t="s">
        <v>18</v>
      </c>
      <c r="G38" s="288" t="str">
        <f t="array" ref="G38">IFERROR(INDEX('計測入力シート（ここのみ編集可）'!$E$17:$E$116,MATCH(A35&amp;B35,'計測入力シート（ここのみ編集可）'!$BO$17:$BO$116,0)),"")</f>
        <v>MT-09</v>
      </c>
      <c r="H38" s="289"/>
    </row>
    <row r="39" ht="24.75" customHeight="1">
      <c r="D39" s="290" t="s">
        <v>92</v>
      </c>
      <c r="E39" s="291" t="str">
        <f t="array" ref="E39">IFERROR(INDEX(#REF!,MATCH(A35&amp;B35,'計測入力シート（ここのみ編集可）'!$BO$17:$BO$116,0)),"")</f>
        <v/>
      </c>
      <c r="H39" s="232"/>
    </row>
    <row r="40" ht="52.5" customHeight="1">
      <c r="D40" s="292" t="s">
        <v>100</v>
      </c>
      <c r="E40" s="293" t="str">
        <f t="array" ref="E40">IFERROR(INDEX(#REF!,MATCH(A35&amp;B35,'計測入力シート（ここのみ編集可）'!$BO$17:$BO$116,0)),"")</f>
        <v/>
      </c>
      <c r="F40" s="95"/>
      <c r="G40" s="95"/>
      <c r="H40" s="96"/>
    </row>
    <row r="41" ht="20.25" customHeight="1">
      <c r="D41" s="294" t="s">
        <v>39</v>
      </c>
      <c r="E41" s="295" t="str">
        <f t="array" ref="E41">IFERROR(INDEX('計測入力シート（ここのみ編集可）'!$AW$17:$AW$116,MATCH(A35&amp;B35,'計測入力シート（ここのみ編集可）'!$BO$17:$BO$116,0)),"")</f>
        <v>2:03:425</v>
      </c>
      <c r="F41" s="296"/>
      <c r="G41" s="297" t="s">
        <v>110</v>
      </c>
      <c r="H41" s="298" t="str">
        <f t="array" ref="H41">IFERROR(INDEX('計測入力シート（ここのみ編集可）'!$AY$17:$AY$116,MATCH(A35&amp;B35,'計測入力シート（ここのみ編集可）'!$BO$17:$BO$116,0)),"")</f>
        <v>-</v>
      </c>
    </row>
    <row r="42" ht="20.25" customHeight="1">
      <c r="D42" s="299" t="s">
        <v>42</v>
      </c>
      <c r="E42" s="300" t="str">
        <f t="array" ref="E42">IFERROR(INDEX('計測入力シート（ここのみ編集可）'!$AZ$17:$AZ$116,MATCH(A35&amp;B35,'計測入力シート（ここのみ編集可）'!$BO$17:$BO$116,0)),"")</f>
        <v>2:00:176</v>
      </c>
      <c r="F42" s="116"/>
      <c r="G42" s="301" t="s">
        <v>111</v>
      </c>
      <c r="H42" s="302" t="str">
        <f t="array" ref="H42">IFERROR(INDEX('計測入力シート（ここのみ編集可）'!$BB$17:$BB$116,MATCH(A35&amp;B35,'計測入力シート（ここのみ編集可）'!$BO$17:$BO$116,0)),"")</f>
        <v>-</v>
      </c>
    </row>
    <row r="43" ht="20.25" customHeight="1">
      <c r="D43" s="303" t="s">
        <v>112</v>
      </c>
      <c r="E43" s="304" t="str">
        <f t="array" ref="E43">IFERROR(INDEX('計測入力シート（ここのみ編集可）'!$BC$17:$BC$116,MATCH(A35&amp;B35,'計測入力シート（ここのみ編集可）'!$BO$17:$BO$116,0)),"")</f>
        <v>2:00:176</v>
      </c>
      <c r="F43" s="305"/>
      <c r="G43" s="306" t="s">
        <v>25</v>
      </c>
      <c r="H43" s="307">
        <f t="array" ref="H43">IFERROR(INDEX('計測入力シート（ここのみ編集可）'!$BD$17:$BD$116,MATCH(A35&amp;B35,'計測入力シート（ここのみ編集可）'!$BO$17:$BO$116,0)),"")</f>
        <v>1.231235785</v>
      </c>
    </row>
    <row r="44" ht="20.25" customHeight="1">
      <c r="D44" s="308"/>
    </row>
    <row r="45" ht="27.0" customHeight="1">
      <c r="A45" s="52" t="str">
        <f>A35</f>
        <v>N</v>
      </c>
      <c r="B45" s="52">
        <f>B35+1</f>
        <v>5</v>
      </c>
      <c r="D45" s="271" t="s">
        <v>80</v>
      </c>
      <c r="E45" s="272" t="s">
        <v>81</v>
      </c>
      <c r="F45" s="272" t="s">
        <v>82</v>
      </c>
      <c r="G45" s="273" t="s">
        <v>49</v>
      </c>
      <c r="H45" s="274"/>
    </row>
    <row r="46" ht="27.0" customHeight="1">
      <c r="A46" s="86"/>
      <c r="B46" s="86"/>
      <c r="D46" s="275">
        <f t="array" ref="D46">IFERROR(INDEX('計測入力シート（ここのみ編集可）'!$BN$17:$BN$116,MATCH(A45&amp;B45,'計測入力シート（ここのみ編集可）'!$BO$17:$BO$116,0)),"")</f>
        <v>5</v>
      </c>
      <c r="E46" s="276" t="str">
        <f t="array" ref="E46">IFERROR(INDEX('計測入力シート（ここのみ編集可）'!$BP$17:$BP$116,MATCH(A45&amp;B45,'計測入力シート（ここのみ編集可）'!$BO$17:$BO$116,0)),"")</f>
        <v>-</v>
      </c>
      <c r="F46" s="277" t="str">
        <f t="array" ref="F46">IFERROR(INDEX('計測入力シート（ここのみ編集可）'!$BR$17:$BR$116,MATCH(A45&amp;B45,'計測入力シート（ここのみ編集可）'!$BO$17:$BO$116,0)),"")</f>
        <v>-</v>
      </c>
      <c r="G46" s="278">
        <f t="array" ref="G46">IFERROR(INDEX('計測入力シート（ここのみ編集可）'!$BL$17:$BL$116,MATCH(A45&amp;B45,'計測入力シート（ここのみ編集可）'!$BO$17:$BO$116,0)),"")</f>
        <v>42</v>
      </c>
      <c r="H46" s="279"/>
    </row>
    <row r="47" ht="27.0" customHeight="1">
      <c r="D47" s="280" t="s">
        <v>2</v>
      </c>
      <c r="E47" s="281">
        <f t="array" ref="E47">IFERROR(INDEX('計測入力シート（ここのみ編集可）'!$C$17:$C$116,MATCH(A45&amp;B45,'計測入力シート（ここのみ編集可）'!$BO$17:$BO$116,0)),"")</f>
        <v>17</v>
      </c>
      <c r="F47" s="282" t="s">
        <v>17</v>
      </c>
      <c r="G47" s="283" t="str">
        <f t="array" ref="G47">IFERROR(INDEX('計測入力シート（ここのみ編集可）'!$D$17:$D$116,MATCH(A45&amp;B45,'計測入力シート（ここのみ編集可）'!$BO$17:$BO$116,0)),"")</f>
        <v>オカピー</v>
      </c>
      <c r="H47" s="284"/>
    </row>
    <row r="48" ht="27.0" customHeight="1">
      <c r="D48" s="285" t="s">
        <v>1</v>
      </c>
      <c r="E48" s="286" t="str">
        <f t="array" ref="E48">IFERROR(INDEX('計測入力シート（ここのみ編集可）'!$B$17:$B$116,MATCH(A45&amp;B45,'計測入力シート（ここのみ編集可）'!$BO$17:$BO$116,0)),"")</f>
        <v>N</v>
      </c>
      <c r="F48" s="287" t="s">
        <v>18</v>
      </c>
      <c r="G48" s="288" t="str">
        <f t="array" ref="G48">IFERROR(INDEX('計測入力シート（ここのみ編集可）'!$E$17:$E$116,MATCH(A45&amp;B45,'計測入力シート（ここのみ編集可）'!$BO$17:$BO$116,0)),"")</f>
        <v>VTR</v>
      </c>
      <c r="H48" s="289"/>
    </row>
    <row r="49" ht="24.75" customHeight="1">
      <c r="D49" s="290" t="s">
        <v>92</v>
      </c>
      <c r="E49" s="291" t="str">
        <f t="array" ref="E49">IFERROR(INDEX(#REF!,MATCH(A45&amp;B45,'計測入力シート（ここのみ編集可）'!$BO$17:$BO$116,0)),"")</f>
        <v/>
      </c>
      <c r="H49" s="232"/>
    </row>
    <row r="50" ht="52.5" customHeight="1">
      <c r="D50" s="292" t="s">
        <v>100</v>
      </c>
      <c r="E50" s="293" t="str">
        <f t="array" ref="E50">IFERROR(INDEX(#REF!,MATCH(A45&amp;B45,'計測入力シート（ここのみ編集可）'!$BO$17:$BO$116,0)),"")</f>
        <v/>
      </c>
      <c r="F50" s="95"/>
      <c r="G50" s="95"/>
      <c r="H50" s="96"/>
    </row>
    <row r="51" ht="20.25" customHeight="1">
      <c r="D51" s="294" t="s">
        <v>39</v>
      </c>
      <c r="E51" s="295" t="str">
        <f t="array" ref="E51">IFERROR(INDEX('計測入力シート（ここのみ編集可）'!$AW$17:$AW$116,MATCH(A45&amp;B45,'計測入力シート（ここのみ編集可）'!$BO$17:$BO$116,0)),"")</f>
        <v>2:05:240</v>
      </c>
      <c r="F51" s="296"/>
      <c r="G51" s="297" t="s">
        <v>110</v>
      </c>
      <c r="H51" s="298" t="str">
        <f t="array" ref="H51">IFERROR(INDEX('計測入力シート（ここのみ編集可）'!$AY$17:$AY$116,MATCH(A45&amp;B45,'計測入力シート（ここのみ編集可）'!$BO$17:$BO$116,0)),"")</f>
        <v>-</v>
      </c>
    </row>
    <row r="52" ht="20.25" customHeight="1">
      <c r="D52" s="299" t="s">
        <v>42</v>
      </c>
      <c r="E52" s="300" t="str">
        <f t="array" ref="E52">IFERROR(INDEX('計測入力シート（ここのみ編集可）'!$AZ$17:$AZ$116,MATCH(A45&amp;B45,'計測入力シート（ここのみ編集可）'!$BO$17:$BO$116,0)),"")</f>
        <v>2:01:614</v>
      </c>
      <c r="F52" s="116"/>
      <c r="G52" s="301" t="s">
        <v>111</v>
      </c>
      <c r="H52" s="302">
        <f t="array" ref="H52">IFERROR(INDEX('計測入力シート（ここのみ編集可）'!$BB$17:$BB$116,MATCH(A45&amp;B45,'計測入力シート（ここのみ編集可）'!$BO$17:$BO$116,0)),"")</f>
        <v>1</v>
      </c>
    </row>
    <row r="53" ht="20.25" customHeight="1">
      <c r="D53" s="303" t="s">
        <v>112</v>
      </c>
      <c r="E53" s="304" t="str">
        <f t="array" ref="E53">IFERROR(INDEX('計測入力シート（ここのみ編集可）'!$BC$17:$BC$116,MATCH(A45&amp;B45,'計測入力シート（ここのみ編集可）'!$BO$17:$BO$116,0)),"")</f>
        <v>2:02:614</v>
      </c>
      <c r="F53" s="305"/>
      <c r="G53" s="306" t="s">
        <v>25</v>
      </c>
      <c r="H53" s="307">
        <f t="array" ref="H53">IFERROR(INDEX('計測入力シート（ここのみ編集可）'!$BD$17:$BD$116,MATCH(A45&amp;B45,'計測入力シート（ここのみ編集可）'!$BO$17:$BO$116,0)),"")</f>
        <v>1.256213757</v>
      </c>
    </row>
    <row r="54" ht="20.25" customHeight="1">
      <c r="D54" s="308"/>
    </row>
    <row r="55" ht="27.0" customHeight="1">
      <c r="A55" s="52" t="str">
        <f>A45</f>
        <v>N</v>
      </c>
      <c r="B55" s="52">
        <f>B45+1</f>
        <v>6</v>
      </c>
      <c r="D55" s="271" t="s">
        <v>80</v>
      </c>
      <c r="E55" s="272" t="s">
        <v>81</v>
      </c>
      <c r="F55" s="272" t="s">
        <v>82</v>
      </c>
      <c r="G55" s="273" t="s">
        <v>49</v>
      </c>
      <c r="H55" s="274"/>
    </row>
    <row r="56" ht="27.0" customHeight="1">
      <c r="A56" s="86"/>
      <c r="B56" s="86"/>
      <c r="D56" s="275">
        <f t="array" ref="D56">IFERROR(INDEX('計測入力シート（ここのみ編集可）'!$BN$17:$BN$116,MATCH(A55&amp;B55,'計測入力シート（ここのみ編集可）'!$BO$17:$BO$116,0)),"")</f>
        <v>6</v>
      </c>
      <c r="E56" s="276" t="str">
        <f t="array" ref="E56">IFERROR(INDEX('計測入力シート（ここのみ編集可）'!$BP$17:$BP$116,MATCH(A55&amp;B55,'計測入力シート（ここのみ編集可）'!$BO$17:$BO$116,0)),"")</f>
        <v>-</v>
      </c>
      <c r="F56" s="277" t="str">
        <f t="array" ref="F56">IFERROR(INDEX('計測入力シート（ここのみ編集可）'!$BR$17:$BR$116,MATCH(A55&amp;B55,'計測入力シート（ここのみ編集可）'!$BO$17:$BO$116,0)),"")</f>
        <v>-</v>
      </c>
      <c r="G56" s="278">
        <f t="array" ref="G56">IFERROR(INDEX('計測入力シート（ここのみ編集可）'!$BL$17:$BL$116,MATCH(A55&amp;B55,'計測入力シート（ここのみ編集可）'!$BO$17:$BO$116,0)),"")</f>
        <v>45</v>
      </c>
      <c r="H56" s="279"/>
    </row>
    <row r="57" ht="27.0" customHeight="1">
      <c r="D57" s="280" t="s">
        <v>2</v>
      </c>
      <c r="E57" s="281">
        <f t="array" ref="E57">IFERROR(INDEX('計測入力シート（ここのみ編集可）'!$C$17:$C$116,MATCH(A55&amp;B55,'計測入力シート（ここのみ編集可）'!$BO$17:$BO$116,0)),"")</f>
        <v>24</v>
      </c>
      <c r="F57" s="282" t="s">
        <v>17</v>
      </c>
      <c r="G57" s="283" t="str">
        <f t="array" ref="G57">IFERROR(INDEX('計測入力シート（ここのみ編集可）'!$D$17:$D$116,MATCH(A55&amp;B55,'計測入力シート（ここのみ編集可）'!$BO$17:$BO$116,0)),"")</f>
        <v>こぱー</v>
      </c>
      <c r="H57" s="284"/>
    </row>
    <row r="58" ht="27.0" customHeight="1">
      <c r="D58" s="285" t="s">
        <v>1</v>
      </c>
      <c r="E58" s="286" t="str">
        <f t="array" ref="E58">IFERROR(INDEX('計測入力シート（ここのみ編集可）'!$B$17:$B$116,MATCH(A55&amp;B55,'計測入力シート（ここのみ編集可）'!$BO$17:$BO$116,0)),"")</f>
        <v>N</v>
      </c>
      <c r="F58" s="287" t="s">
        <v>18</v>
      </c>
      <c r="G58" s="288" t="str">
        <f t="array" ref="G58">IFERROR(INDEX('計測入力シート（ここのみ編集可）'!$E$17:$E$116,MATCH(A55&amp;B55,'計測入力シート（ここのみ編集可）'!$BO$17:$BO$116,0)),"")</f>
        <v>CB250R </v>
      </c>
      <c r="H58" s="289"/>
    </row>
    <row r="59" ht="24.75" customHeight="1">
      <c r="D59" s="290" t="s">
        <v>92</v>
      </c>
      <c r="E59" s="291" t="str">
        <f t="array" ref="E59">IFERROR(INDEX(#REF!,MATCH(A55&amp;B55,'計測入力シート（ここのみ編集可）'!$BO$17:$BO$116,0)),"")</f>
        <v/>
      </c>
      <c r="H59" s="232"/>
    </row>
    <row r="60" ht="52.5" customHeight="1">
      <c r="D60" s="292" t="s">
        <v>100</v>
      </c>
      <c r="E60" s="293" t="str">
        <f t="array" ref="E60">IFERROR(INDEX(#REF!,MATCH(A55&amp;B55,'計測入力シート（ここのみ編集可）'!$BO$17:$BO$116,0)),"")</f>
        <v/>
      </c>
      <c r="F60" s="95"/>
      <c r="G60" s="95"/>
      <c r="H60" s="96"/>
    </row>
    <row r="61" ht="20.25" customHeight="1">
      <c r="D61" s="294" t="s">
        <v>39</v>
      </c>
      <c r="E61" s="295" t="str">
        <f t="array" ref="E61">IFERROR(INDEX('計測入力シート（ここのみ編集可）'!$AW$17:$AW$116,MATCH(A55&amp;B55,'計測入力シート（ここのみ編集可）'!$BO$17:$BO$116,0)),"")</f>
        <v>9:99:999</v>
      </c>
      <c r="F61" s="296"/>
      <c r="G61" s="297" t="s">
        <v>110</v>
      </c>
      <c r="H61" s="298" t="str">
        <f t="array" ref="H61">IFERROR(INDEX('計測入力シート（ここのみ編集可）'!$AY$17:$AY$116,MATCH(A55&amp;B55,'計測入力シート（ここのみ編集可）'!$BO$17:$BO$116,0)),"")</f>
        <v>MC</v>
      </c>
    </row>
    <row r="62" ht="20.25" customHeight="1">
      <c r="D62" s="299" t="s">
        <v>42</v>
      </c>
      <c r="E62" s="300" t="str">
        <f t="array" ref="E62">IFERROR(INDEX('計測入力シート（ここのみ編集可）'!$AZ$17:$AZ$116,MATCH(A55&amp;B55,'計測入力シート（ここのみ編集可）'!$BO$17:$BO$116,0)),"")</f>
        <v>2:09:893</v>
      </c>
      <c r="F62" s="116"/>
      <c r="G62" s="301" t="s">
        <v>111</v>
      </c>
      <c r="H62" s="302" t="str">
        <f t="array" ref="H62">IFERROR(INDEX('計測入力シート（ここのみ編集可）'!$BB$17:$BB$116,MATCH(A55&amp;B55,'計測入力シート（ここのみ編集可）'!$BO$17:$BO$116,0)),"")</f>
        <v>-</v>
      </c>
    </row>
    <row r="63" ht="20.25" customHeight="1">
      <c r="D63" s="303" t="s">
        <v>112</v>
      </c>
      <c r="E63" s="304" t="str">
        <f t="array" ref="E63">IFERROR(INDEX('計測入力シート（ここのみ編集可）'!$BC$17:$BC$116,MATCH(A55&amp;B55,'計測入力シート（ここのみ編集可）'!$BO$17:$BO$116,0)),"")</f>
        <v>2:09:893</v>
      </c>
      <c r="F63" s="305"/>
      <c r="G63" s="306" t="s">
        <v>25</v>
      </c>
      <c r="H63" s="307">
        <f t="array" ref="H63">IFERROR(INDEX('計測入力シート（ここのみ編集可）'!$BD$17:$BD$116,MATCH(A55&amp;B55,'計測入力シート（ここのみ編集可）'!$BO$17:$BO$116,0)),"")</f>
        <v>1.330789091</v>
      </c>
    </row>
    <row r="64" ht="20.25" customHeight="1">
      <c r="D64" s="308"/>
    </row>
    <row r="65" ht="27.0" customHeight="1">
      <c r="A65" s="52" t="str">
        <f>A55</f>
        <v>N</v>
      </c>
      <c r="B65" s="52">
        <f>B55+1</f>
        <v>7</v>
      </c>
      <c r="D65" s="271" t="s">
        <v>80</v>
      </c>
      <c r="E65" s="272" t="s">
        <v>81</v>
      </c>
      <c r="F65" s="272" t="s">
        <v>82</v>
      </c>
      <c r="G65" s="273" t="s">
        <v>49</v>
      </c>
      <c r="H65" s="274"/>
    </row>
    <row r="66" ht="27.0" customHeight="1">
      <c r="A66" s="86"/>
      <c r="B66" s="86"/>
      <c r="D66" s="275">
        <f t="array" ref="D66">IFERROR(INDEX('計測入力シート（ここのみ編集可）'!$BN$17:$BN$116,MATCH(A65&amp;B65,'計測入力シート（ここのみ編集可）'!$BO$17:$BO$116,0)),"")</f>
        <v>7</v>
      </c>
      <c r="E66" s="276" t="str">
        <f t="array" ref="E66">IFERROR(INDEX('計測入力シート（ここのみ編集可）'!$BP$17:$BP$116,MATCH(A65&amp;B65,'計測入力シート（ここのみ編集可）'!$BO$17:$BO$116,0)),"")</f>
        <v>-</v>
      </c>
      <c r="F66" s="277" t="str">
        <f t="array" ref="F66">IFERROR(INDEX('計測入力シート（ここのみ編集可）'!$BR$17:$BR$116,MATCH(A65&amp;B65,'計測入力シート（ここのみ編集可）'!$BO$17:$BO$116,0)),"")</f>
        <v>-</v>
      </c>
      <c r="G66" s="278">
        <f t="array" ref="G66">IFERROR(INDEX('計測入力シート（ここのみ編集可）'!$BL$17:$BL$116,MATCH(A65&amp;B65,'計測入力シート（ここのみ編集可）'!$BO$17:$BO$116,0)),"")</f>
        <v>46</v>
      </c>
      <c r="H66" s="279"/>
    </row>
    <row r="67" ht="27.0" customHeight="1">
      <c r="D67" s="280" t="s">
        <v>2</v>
      </c>
      <c r="E67" s="281">
        <f t="array" ref="E67">IFERROR(INDEX('計測入力シート（ここのみ編集可）'!$C$17:$C$116,MATCH(A65&amp;B65,'計測入力シート（ここのみ編集可）'!$BO$17:$BO$116,0)),"")</f>
        <v>19</v>
      </c>
      <c r="F67" s="282" t="s">
        <v>17</v>
      </c>
      <c r="G67" s="283" t="str">
        <f t="array" ref="G67">IFERROR(INDEX('計測入力シート（ここのみ編集可）'!$D$17:$D$116,MATCH(A65&amp;B65,'計測入力シート（ここのみ編集可）'!$BO$17:$BO$116,0)),"")</f>
        <v>グチ</v>
      </c>
      <c r="H67" s="284"/>
    </row>
    <row r="68" ht="27.0" customHeight="1">
      <c r="D68" s="285" t="s">
        <v>1</v>
      </c>
      <c r="E68" s="286" t="str">
        <f t="array" ref="E68">IFERROR(INDEX('計測入力シート（ここのみ編集可）'!$B$17:$B$116,MATCH(A65&amp;B65,'計測入力シート（ここのみ編集可）'!$BO$17:$BO$116,0)),"")</f>
        <v>N</v>
      </c>
      <c r="F68" s="287" t="s">
        <v>18</v>
      </c>
      <c r="G68" s="288" t="str">
        <f t="array" ref="G68">IFERROR(INDEX('計測入力シート（ここのみ編集可）'!$E$17:$E$116,MATCH(A65&amp;B65,'計測入力シート（ここのみ編集可）'!$BO$17:$BO$116,0)),"")</f>
        <v>R1250GS</v>
      </c>
      <c r="H68" s="289"/>
    </row>
    <row r="69" ht="24.75" customHeight="1">
      <c r="D69" s="290" t="s">
        <v>92</v>
      </c>
      <c r="E69" s="291" t="str">
        <f t="array" ref="E69">IFERROR(INDEX(#REF!,MATCH(A65&amp;B65,'計測入力シート（ここのみ編集可）'!$BO$17:$BO$116,0)),"")</f>
        <v/>
      </c>
      <c r="H69" s="232"/>
    </row>
    <row r="70" ht="52.5" customHeight="1">
      <c r="D70" s="292" t="s">
        <v>100</v>
      </c>
      <c r="E70" s="293" t="str">
        <f t="array" ref="E70">IFERROR(INDEX(#REF!,MATCH(A65&amp;B65,'計測入力シート（ここのみ編集可）'!$BO$17:$BO$116,0)),"")</f>
        <v/>
      </c>
      <c r="F70" s="95"/>
      <c r="G70" s="95"/>
      <c r="H70" s="96"/>
    </row>
    <row r="71" ht="20.25" customHeight="1">
      <c r="D71" s="294" t="s">
        <v>39</v>
      </c>
      <c r="E71" s="295" t="str">
        <f t="array" ref="E71">IFERROR(INDEX('計測入力シート（ここのみ編集可）'!$AW$17:$AW$116,MATCH(A65&amp;B65,'計測入力シート（ここのみ編集可）'!$BO$17:$BO$116,0)),"")</f>
        <v>2:20:385</v>
      </c>
      <c r="F71" s="296"/>
      <c r="G71" s="297" t="s">
        <v>110</v>
      </c>
      <c r="H71" s="298">
        <f t="array" ref="H71">IFERROR(INDEX('計測入力シート（ここのみ編集可）'!$AY$17:$AY$116,MATCH(A65&amp;B65,'計測入力シート（ここのみ編集可）'!$BO$17:$BO$116,0)),"")</f>
        <v>6</v>
      </c>
    </row>
    <row r="72" ht="20.25" customHeight="1">
      <c r="D72" s="299" t="s">
        <v>42</v>
      </c>
      <c r="E72" s="300" t="str">
        <f t="array" ref="E72">IFERROR(INDEX('計測入力シート（ここのみ編集可）'!$AZ$17:$AZ$116,MATCH(A65&amp;B65,'計測入力シート（ここのみ編集可）'!$BO$17:$BO$116,0)),"")</f>
        <v>2:16:797</v>
      </c>
      <c r="F72" s="116"/>
      <c r="G72" s="301" t="s">
        <v>111</v>
      </c>
      <c r="H72" s="302" t="str">
        <f t="array" ref="H72">IFERROR(INDEX('計測入力シート（ここのみ編集可）'!$BB$17:$BB$116,MATCH(A65&amp;B65,'計測入力シート（ここのみ編集可）'!$BO$17:$BO$116,0)),"")</f>
        <v>-</v>
      </c>
    </row>
    <row r="73" ht="20.25" customHeight="1">
      <c r="D73" s="303" t="s">
        <v>112</v>
      </c>
      <c r="E73" s="304" t="str">
        <f t="array" ref="E73">IFERROR(INDEX('計測入力シート（ここのみ編集可）'!$BC$17:$BC$116,MATCH(A65&amp;B65,'計測入力シート（ここのみ編集可）'!$BO$17:$BO$116,0)),"")</f>
        <v>2:16:797</v>
      </c>
      <c r="F73" s="305"/>
      <c r="G73" s="306" t="s">
        <v>25</v>
      </c>
      <c r="H73" s="307">
        <f t="array" ref="H73">IFERROR(INDEX('計測入力シート（ここのみ編集可）'!$BD$17:$BD$116,MATCH(A65&amp;B65,'計測入力シート（ここのみ編集可）'!$BO$17:$BO$116,0)),"")</f>
        <v>1.401522447</v>
      </c>
    </row>
    <row r="74" ht="20.25" customHeight="1">
      <c r="D74" s="308"/>
    </row>
    <row r="75" ht="27.0" customHeight="1">
      <c r="A75" s="52" t="str">
        <f>A65</f>
        <v>N</v>
      </c>
      <c r="B75" s="52">
        <f>B65+1</f>
        <v>8</v>
      </c>
      <c r="D75" s="271" t="s">
        <v>80</v>
      </c>
      <c r="E75" s="272" t="s">
        <v>81</v>
      </c>
      <c r="F75" s="272" t="s">
        <v>82</v>
      </c>
      <c r="G75" s="273" t="s">
        <v>49</v>
      </c>
      <c r="H75" s="274"/>
    </row>
    <row r="76" ht="27.0" customHeight="1">
      <c r="A76" s="86"/>
      <c r="B76" s="86"/>
      <c r="D76" s="275">
        <f t="array" ref="D76">IFERROR(INDEX('計測入力シート（ここのみ編集可）'!$BN$17:$BN$116,MATCH(A75&amp;B75,'計測入力シート（ここのみ編集可）'!$BO$17:$BO$116,0)),"")</f>
        <v>8</v>
      </c>
      <c r="E76" s="276" t="str">
        <f t="array" ref="E76">IFERROR(INDEX('計測入力シート（ここのみ編集可）'!$BP$17:$BP$116,MATCH(A75&amp;B75,'計測入力シート（ここのみ編集可）'!$BO$17:$BO$116,0)),"")</f>
        <v>-</v>
      </c>
      <c r="F76" s="277">
        <f t="array" ref="F76">IFERROR(INDEX('計測入力シート（ここのみ編集可）'!$BR$17:$BR$116,MATCH(A75&amp;B75,'計測入力シート（ここのみ編集可）'!$BO$17:$BO$116,0)),"")</f>
        <v>4</v>
      </c>
      <c r="G76" s="278">
        <f t="array" ref="G76">IFERROR(INDEX('計測入力シート（ここのみ編集可）'!$BL$17:$BL$116,MATCH(A75&amp;B75,'計測入力シート（ここのみ編集可）'!$BO$17:$BO$116,0)),"")</f>
        <v>47</v>
      </c>
      <c r="H76" s="279"/>
    </row>
    <row r="77" ht="27.0" customHeight="1">
      <c r="D77" s="280" t="s">
        <v>2</v>
      </c>
      <c r="E77" s="281">
        <f t="array" ref="E77">IFERROR(INDEX('計測入力シート（ここのみ編集可）'!$C$17:$C$116,MATCH(A75&amp;B75,'計測入力シート（ここのみ編集可）'!$BO$17:$BO$116,0)),"")</f>
        <v>23</v>
      </c>
      <c r="F77" s="282" t="s">
        <v>17</v>
      </c>
      <c r="G77" s="283" t="str">
        <f t="array" ref="G77">IFERROR(INDEX('計測入力シート（ここのみ編集可）'!$D$17:$D$116,MATCH(A75&amp;B75,'計測入力シート（ここのみ編集可）'!$BO$17:$BO$116,0)),"")</f>
        <v>むねー</v>
      </c>
      <c r="H77" s="284"/>
    </row>
    <row r="78" ht="27.0" customHeight="1">
      <c r="D78" s="285" t="s">
        <v>1</v>
      </c>
      <c r="E78" s="286" t="str">
        <f t="array" ref="E78">IFERROR(INDEX('計測入力シート（ここのみ編集可）'!$B$17:$B$116,MATCH(A75&amp;B75,'計測入力シート（ここのみ編集可）'!$BO$17:$BO$116,0)),"")</f>
        <v>N</v>
      </c>
      <c r="F78" s="287" t="s">
        <v>18</v>
      </c>
      <c r="G78" s="288" t="str">
        <f t="array" ref="G78">IFERROR(INDEX('計測入力シート（ここのみ編集可）'!$E$17:$E$116,MATCH(A75&amp;B75,'計測入力シート（ここのみ編集可）'!$BO$17:$BO$116,0)),"")</f>
        <v>GROM</v>
      </c>
      <c r="H78" s="289"/>
    </row>
    <row r="79" ht="24.75" customHeight="1">
      <c r="D79" s="290" t="s">
        <v>92</v>
      </c>
      <c r="E79" s="291" t="str">
        <f t="array" ref="E79">IFERROR(INDEX(#REF!,MATCH(A75&amp;B75,'計測入力シート（ここのみ編集可）'!$BO$17:$BO$116,0)),"")</f>
        <v/>
      </c>
      <c r="H79" s="232"/>
    </row>
    <row r="80" ht="52.5" customHeight="1">
      <c r="D80" s="292" t="s">
        <v>100</v>
      </c>
      <c r="E80" s="293" t="str">
        <f t="array" ref="E80">IFERROR(INDEX(#REF!,MATCH(A75&amp;B75,'計測入力シート（ここのみ編集可）'!$BO$17:$BO$116,0)),"")</f>
        <v/>
      </c>
      <c r="F80" s="95"/>
      <c r="G80" s="95"/>
      <c r="H80" s="96"/>
    </row>
    <row r="81" ht="20.25" customHeight="1">
      <c r="D81" s="294" t="s">
        <v>39</v>
      </c>
      <c r="E81" s="295" t="str">
        <f t="array" ref="E81">IFERROR(INDEX('計測入力シート（ここのみ編集可）'!$AW$17:$AW$116,MATCH(A75&amp;B75,'計測入力シート（ここのみ編集可）'!$BO$17:$BO$116,0)),"")</f>
        <v>9:99:999</v>
      </c>
      <c r="F81" s="296"/>
      <c r="G81" s="297" t="s">
        <v>110</v>
      </c>
      <c r="H81" s="298" t="str">
        <f t="array" ref="H81">IFERROR(INDEX('計測入力シート（ここのみ編集可）'!$AY$17:$AY$116,MATCH(A75&amp;B75,'計測入力シート（ここのみ編集可）'!$BO$17:$BO$116,0)),"")</f>
        <v>MC</v>
      </c>
    </row>
    <row r="82" ht="20.25" customHeight="1">
      <c r="D82" s="299" t="s">
        <v>42</v>
      </c>
      <c r="E82" s="300" t="str">
        <f t="array" ref="E82">IFERROR(INDEX('計測入力シート（ここのみ編集可）'!$AZ$17:$AZ$116,MATCH(A75&amp;B75,'計測入力シート（ここのみ編集可）'!$BO$17:$BO$116,0)),"")</f>
        <v>2:19:060</v>
      </c>
      <c r="F82" s="116"/>
      <c r="G82" s="301" t="s">
        <v>111</v>
      </c>
      <c r="H82" s="302" t="str">
        <f t="array" ref="H82">IFERROR(INDEX('計測入力シート（ここのみ編集可）'!$BB$17:$BB$116,MATCH(A75&amp;B75,'計測入力シート（ここのみ編集可）'!$BO$17:$BO$116,0)),"")</f>
        <v>-</v>
      </c>
    </row>
    <row r="83" ht="20.25" customHeight="1">
      <c r="D83" s="303" t="s">
        <v>112</v>
      </c>
      <c r="E83" s="304" t="str">
        <f t="array" ref="E83">IFERROR(INDEX('計測入力シート（ここのみ編集可）'!$BC$17:$BC$116,MATCH(A75&amp;B75,'計測入力シート（ここのみ編集可）'!$BO$17:$BO$116,0)),"")</f>
        <v>2:19:060</v>
      </c>
      <c r="F83" s="305"/>
      <c r="G83" s="306" t="s">
        <v>25</v>
      </c>
      <c r="H83" s="307">
        <f t="array" ref="H83">IFERROR(INDEX('計測入力シート（ここのみ編集可）'!$BD$17:$BD$116,MATCH(A75&amp;B75,'計測入力シート（ここのみ編集可）'!$BO$17:$BO$116,0)),"")</f>
        <v>1.424707497</v>
      </c>
    </row>
    <row r="84" ht="20.25" customHeight="1">
      <c r="D84" s="308"/>
    </row>
    <row r="85" ht="27.0" customHeight="1">
      <c r="A85" s="52" t="str">
        <f>A75</f>
        <v>N</v>
      </c>
      <c r="B85" s="52">
        <f>B75+1</f>
        <v>9</v>
      </c>
      <c r="D85" s="271" t="s">
        <v>80</v>
      </c>
      <c r="E85" s="272" t="s">
        <v>81</v>
      </c>
      <c r="F85" s="272" t="s">
        <v>82</v>
      </c>
      <c r="G85" s="273" t="s">
        <v>49</v>
      </c>
      <c r="H85" s="274"/>
    </row>
    <row r="86" ht="27.0" customHeight="1">
      <c r="A86" s="86"/>
      <c r="B86" s="86"/>
      <c r="D86" s="275">
        <f t="array" ref="D86">IFERROR(INDEX('計測入力シート（ここのみ編集可）'!$BN$17:$BN$116,MATCH(A85&amp;B85,'計測入力シート（ここのみ編集可）'!$BO$17:$BO$116,0)),"")</f>
        <v>9</v>
      </c>
      <c r="E86" s="276" t="str">
        <f t="array" ref="E86">IFERROR(INDEX('計測入力シート（ここのみ編集可）'!$BP$17:$BP$116,MATCH(A85&amp;B85,'計測入力シート（ここのみ編集可）'!$BO$17:$BO$116,0)),"")</f>
        <v>-</v>
      </c>
      <c r="F86" s="277" t="str">
        <f t="array" ref="F86">IFERROR(INDEX('計測入力シート（ここのみ編集可）'!$BR$17:$BR$116,MATCH(A85&amp;B85,'計測入力シート（ここのみ編集可）'!$BO$17:$BO$116,0)),"")</f>
        <v>-</v>
      </c>
      <c r="G86" s="278">
        <f t="array" ref="G86">IFERROR(INDEX('計測入力シート（ここのみ編集可）'!$BL$17:$BL$116,MATCH(A85&amp;B85,'計測入力シート（ここのみ編集可）'!$BO$17:$BO$116,0)),"")</f>
        <v>48</v>
      </c>
      <c r="H86" s="279"/>
    </row>
    <row r="87" ht="27.0" customHeight="1">
      <c r="D87" s="280" t="s">
        <v>2</v>
      </c>
      <c r="E87" s="281">
        <f t="array" ref="E87">IFERROR(INDEX('計測入力シート（ここのみ編集可）'!$C$17:$C$116,MATCH(A85&amp;B85,'計測入力シート（ここのみ編集可）'!$BO$17:$BO$116,0)),"")</f>
        <v>26</v>
      </c>
      <c r="F87" s="282" t="s">
        <v>17</v>
      </c>
      <c r="G87" s="283" t="str">
        <f t="array" ref="G87">IFERROR(INDEX('計測入力シート（ここのみ編集可）'!$D$17:$D$116,MATCH(A85&amp;B85,'計測入力シート（ここのみ編集可）'!$BO$17:$BO$116,0)),"")</f>
        <v>まさじぃ</v>
      </c>
      <c r="H87" s="284"/>
    </row>
    <row r="88" ht="27.0" customHeight="1">
      <c r="D88" s="285" t="s">
        <v>1</v>
      </c>
      <c r="E88" s="286" t="str">
        <f t="array" ref="E88">IFERROR(INDEX('計測入力シート（ここのみ編集可）'!$B$17:$B$116,MATCH(A85&amp;B85,'計測入力シート（ここのみ編集可）'!$BO$17:$BO$116,0)),"")</f>
        <v>N</v>
      </c>
      <c r="F88" s="287" t="s">
        <v>18</v>
      </c>
      <c r="G88" s="288" t="str">
        <f t="array" ref="G88">IFERROR(INDEX('計測入力シート（ここのみ編集可）'!$E$17:$E$116,MATCH(A85&amp;B85,'計測入力シート（ここのみ編集可）'!$BO$17:$BO$116,0)),"")</f>
        <v>GSX-S1000</v>
      </c>
      <c r="H88" s="289"/>
    </row>
    <row r="89" ht="24.75" customHeight="1">
      <c r="D89" s="290" t="s">
        <v>92</v>
      </c>
      <c r="E89" s="291" t="str">
        <f t="array" ref="E89">IFERROR(INDEX(#REF!,MATCH(A85&amp;B85,'計測入力シート（ここのみ編集可）'!$BO$17:$BO$116,0)),"")</f>
        <v/>
      </c>
      <c r="H89" s="232"/>
    </row>
    <row r="90" ht="52.5" customHeight="1">
      <c r="D90" s="292" t="s">
        <v>100</v>
      </c>
      <c r="E90" s="293" t="str">
        <f t="array" ref="E90">IFERROR(INDEX(#REF!,MATCH(A85&amp;B85,'計測入力シート（ここのみ編集可）'!$BO$17:$BO$116,0)),"")</f>
        <v/>
      </c>
      <c r="F90" s="95"/>
      <c r="G90" s="95"/>
      <c r="H90" s="96"/>
    </row>
    <row r="91" ht="20.25" customHeight="1">
      <c r="D91" s="294" t="s">
        <v>39</v>
      </c>
      <c r="E91" s="295" t="str">
        <f t="array" ref="E91">IFERROR(INDEX('計測入力シート（ここのみ編集可）'!$AW$17:$AW$116,MATCH(A85&amp;B85,'計測入力シート（ここのみ編集可）'!$BO$17:$BO$116,0)),"")</f>
        <v>9:99:999</v>
      </c>
      <c r="F91" s="296"/>
      <c r="G91" s="297" t="s">
        <v>110</v>
      </c>
      <c r="H91" s="298" t="str">
        <f t="array" ref="H91">IFERROR(INDEX('計測入力シート（ここのみ編集可）'!$AY$17:$AY$116,MATCH(A85&amp;B85,'計測入力シート（ここのみ編集可）'!$BO$17:$BO$116,0)),"")</f>
        <v>MC</v>
      </c>
    </row>
    <row r="92" ht="20.25" customHeight="1">
      <c r="D92" s="299" t="s">
        <v>42</v>
      </c>
      <c r="E92" s="300" t="str">
        <f t="array" ref="E92">IFERROR(INDEX('計測入力シート（ここのみ編集可）'!$AZ$17:$AZ$116,MATCH(A85&amp;B85,'計測入力シート（ここのみ編集可）'!$BO$17:$BO$116,0)),"")</f>
        <v>2:17:950</v>
      </c>
      <c r="F92" s="116"/>
      <c r="G92" s="301" t="s">
        <v>111</v>
      </c>
      <c r="H92" s="302">
        <f t="array" ref="H92">IFERROR(INDEX('計測入力シート（ここのみ編集可）'!$BB$17:$BB$116,MATCH(A85&amp;B85,'計測入力シート（ここのみ編集可）'!$BO$17:$BO$116,0)),"")</f>
        <v>2</v>
      </c>
    </row>
    <row r="93" ht="20.25" customHeight="1">
      <c r="D93" s="303" t="s">
        <v>112</v>
      </c>
      <c r="E93" s="304" t="str">
        <f t="array" ref="E93">IFERROR(INDEX('計測入力シート（ここのみ編集可）'!$BC$17:$BC$116,MATCH(A85&amp;B85,'計測入力シート（ここのみ編集可）'!$BO$17:$BO$116,0)),"")</f>
        <v>2:19:950</v>
      </c>
      <c r="F93" s="305"/>
      <c r="G93" s="306" t="s">
        <v>25</v>
      </c>
      <c r="H93" s="307">
        <f t="array" ref="H93">IFERROR(INDEX('計測入力シート（ここのみ編集可）'!$BD$17:$BD$116,MATCH(A85&amp;B85,'計測入力シート（ここのみ編集可）'!$BO$17:$BO$116,0)),"")</f>
        <v>1.433825789</v>
      </c>
    </row>
    <row r="94" ht="20.25" customHeight="1">
      <c r="D94" s="308"/>
    </row>
    <row r="95" ht="27.0" customHeight="1">
      <c r="A95" s="52" t="str">
        <f>A85</f>
        <v>N</v>
      </c>
      <c r="B95" s="52">
        <f>B85+1</f>
        <v>10</v>
      </c>
      <c r="D95" s="271" t="s">
        <v>80</v>
      </c>
      <c r="E95" s="272" t="s">
        <v>81</v>
      </c>
      <c r="F95" s="272" t="s">
        <v>82</v>
      </c>
      <c r="G95" s="273" t="s">
        <v>49</v>
      </c>
      <c r="H95" s="274"/>
    </row>
    <row r="96" ht="27.0" customHeight="1">
      <c r="A96" s="86"/>
      <c r="B96" s="86"/>
      <c r="D96" s="275">
        <f t="array" ref="D96">IFERROR(INDEX('計測入力シート（ここのみ編集可）'!$BN$17:$BN$116,MATCH(A95&amp;B95,'計測入力シート（ここのみ編集可）'!$BO$17:$BO$116,0)),"")</f>
        <v>10</v>
      </c>
      <c r="E96" s="276">
        <f t="array" ref="E96">IFERROR(INDEX('計測入力シート（ここのみ編集可）'!$BP$17:$BP$116,MATCH(A95&amp;B95,'計測入力シート（ここのみ編集可）'!$BO$17:$BO$116,0)),"")</f>
        <v>5</v>
      </c>
      <c r="F96" s="277" t="str">
        <f t="array" ref="F96">IFERROR(INDEX('計測入力シート（ここのみ編集可）'!$BR$17:$BR$116,MATCH(A95&amp;B95,'計測入力シート（ここのみ編集可）'!$BO$17:$BO$116,0)),"")</f>
        <v>-</v>
      </c>
      <c r="G96" s="278">
        <f t="array" ref="G96">IFERROR(INDEX('計測入力シート（ここのみ編集可）'!$BL$17:$BL$116,MATCH(A95&amp;B95,'計測入力シート（ここのみ編集可）'!$BO$17:$BO$116,0)),"")</f>
        <v>49</v>
      </c>
      <c r="H96" s="279"/>
    </row>
    <row r="97" ht="27.0" customHeight="1">
      <c r="D97" s="280" t="s">
        <v>2</v>
      </c>
      <c r="E97" s="281">
        <f t="array" ref="E97">IFERROR(INDEX('計測入力シート（ここのみ編集可）'!$C$17:$C$116,MATCH(A95&amp;B95,'計測入力シート（ここのみ編集可）'!$BO$17:$BO$116,0)),"")</f>
        <v>21</v>
      </c>
      <c r="F97" s="282" t="s">
        <v>17</v>
      </c>
      <c r="G97" s="283" t="str">
        <f t="array" ref="G97">IFERROR(INDEX('計測入力シート（ここのみ編集可）'!$D$17:$D$116,MATCH(A95&amp;B95,'計測入力シート（ここのみ編集可）'!$BO$17:$BO$116,0)),"")</f>
        <v>EK9</v>
      </c>
      <c r="H97" s="284"/>
    </row>
    <row r="98" ht="27.0" customHeight="1">
      <c r="D98" s="285" t="s">
        <v>1</v>
      </c>
      <c r="E98" s="286" t="str">
        <f t="array" ref="E98">IFERROR(INDEX('計測入力シート（ここのみ編集可）'!$B$17:$B$116,MATCH(A95&amp;B95,'計測入力シート（ここのみ編集可）'!$BO$17:$BO$116,0)),"")</f>
        <v>N</v>
      </c>
      <c r="F98" s="287" t="s">
        <v>18</v>
      </c>
      <c r="G98" s="288" t="str">
        <f t="array" ref="G98">IFERROR(INDEX('計測入力シート（ここのみ編集可）'!$E$17:$E$116,MATCH(A95&amp;B95,'計測入力シート（ここのみ編集可）'!$BO$17:$BO$116,0)),"")</f>
        <v>NSR250</v>
      </c>
      <c r="H98" s="289"/>
    </row>
    <row r="99" ht="24.75" customHeight="1">
      <c r="D99" s="290" t="s">
        <v>92</v>
      </c>
      <c r="E99" s="291" t="str">
        <f t="array" ref="E99">IFERROR(INDEX(#REF!,MATCH(A95&amp;B95,'計測入力シート（ここのみ編集可）'!$BO$17:$BO$116,0)),"")</f>
        <v/>
      </c>
      <c r="H99" s="232"/>
    </row>
    <row r="100" ht="52.5" customHeight="1">
      <c r="D100" s="292" t="s">
        <v>100</v>
      </c>
      <c r="E100" s="293" t="str">
        <f t="array" ref="E100">IFERROR(INDEX(#REF!,MATCH(A95&amp;B95,'計測入力シート（ここのみ編集可）'!$BO$17:$BO$116,0)),"")</f>
        <v/>
      </c>
      <c r="F100" s="95"/>
      <c r="G100" s="95"/>
      <c r="H100" s="96"/>
    </row>
    <row r="101" ht="20.25" customHeight="1">
      <c r="D101" s="294" t="s">
        <v>39</v>
      </c>
      <c r="E101" s="295" t="str">
        <f t="array" ref="E101">IFERROR(INDEX('計測入力シート（ここのみ編集可）'!$AW$17:$AW$116,MATCH(A95&amp;B95,'計測入力シート（ここのみ編集可）'!$BO$17:$BO$116,0)),"")</f>
        <v>2:40:692</v>
      </c>
      <c r="F101" s="296"/>
      <c r="G101" s="297" t="s">
        <v>110</v>
      </c>
      <c r="H101" s="298" t="str">
        <f t="array" ref="H101">IFERROR(INDEX('計測入力シート（ここのみ編集可）'!$AY$17:$AY$116,MATCH(A95&amp;B95,'計測入力シート（ここのみ編集可）'!$BO$17:$BO$116,0)),"")</f>
        <v>-</v>
      </c>
    </row>
    <row r="102" ht="20.25" customHeight="1">
      <c r="D102" s="299" t="s">
        <v>42</v>
      </c>
      <c r="E102" s="300" t="str">
        <f t="array" ref="E102">IFERROR(INDEX('計測入力シート（ここのみ編集可）'!$AZ$17:$AZ$116,MATCH(A95&amp;B95,'計測入力シート（ここのみ編集可）'!$BO$17:$BO$116,0)),"")</f>
        <v>2:30:194</v>
      </c>
      <c r="F102" s="116"/>
      <c r="G102" s="301" t="s">
        <v>111</v>
      </c>
      <c r="H102" s="302" t="str">
        <f t="array" ref="H102">IFERROR(INDEX('計測入力シート（ここのみ編集可）'!$BB$17:$BB$116,MATCH(A95&amp;B95,'計測入力シート（ここのみ編集可）'!$BO$17:$BO$116,0)),"")</f>
        <v>-</v>
      </c>
    </row>
    <row r="103" ht="20.25" customHeight="1">
      <c r="D103" s="303" t="s">
        <v>112</v>
      </c>
      <c r="E103" s="304" t="str">
        <f t="array" ref="E103">IFERROR(INDEX('計測入力シート（ここのみ編集可）'!$BC$17:$BC$116,MATCH(A95&amp;B95,'計測入力シート（ここのみ編集可）'!$BO$17:$BO$116,0)),"")</f>
        <v>2:30:194</v>
      </c>
      <c r="F103" s="305"/>
      <c r="G103" s="306" t="s">
        <v>25</v>
      </c>
      <c r="H103" s="307">
        <f t="array" ref="H103">IFERROR(INDEX('計測入力シート（ここのみ編集可）'!$BD$17:$BD$116,MATCH(A95&amp;B95,'計測入力シート（ここのみ編集可）'!$BO$17:$BO$116,0)),"")</f>
        <v>1.538778354</v>
      </c>
    </row>
    <row r="104" ht="20.25" customHeight="1">
      <c r="D104" s="308"/>
    </row>
    <row r="105" ht="27.0" customHeight="1">
      <c r="A105" s="52" t="str">
        <f>A95</f>
        <v>N</v>
      </c>
      <c r="B105" s="52">
        <f>B95+1</f>
        <v>11</v>
      </c>
      <c r="D105" s="271" t="s">
        <v>80</v>
      </c>
      <c r="E105" s="272" t="s">
        <v>81</v>
      </c>
      <c r="F105" s="272" t="s">
        <v>82</v>
      </c>
      <c r="G105" s="273" t="s">
        <v>49</v>
      </c>
      <c r="H105" s="274"/>
    </row>
    <row r="106" ht="27.0" customHeight="1">
      <c r="A106" s="86"/>
      <c r="B106" s="86"/>
      <c r="D106" s="275">
        <f t="array" ref="D106">IFERROR(INDEX('計測入力シート（ここのみ編集可）'!$BN$17:$BN$116,MATCH(A105&amp;B105,'計測入力シート（ここのみ編集可）'!$BO$17:$BO$116,0)),"")</f>
        <v>11</v>
      </c>
      <c r="E106" s="276" t="str">
        <f t="array" ref="E106">IFERROR(INDEX('計測入力シート（ここのみ編集可）'!$BP$17:$BP$116,MATCH(A105&amp;B105,'計測入力シート（ここのみ編集可）'!$BO$17:$BO$116,0)),"")</f>
        <v>-</v>
      </c>
      <c r="F106" s="277" t="str">
        <f t="array" ref="F106">IFERROR(INDEX('計測入力シート（ここのみ編集可）'!$BR$17:$BR$116,MATCH(A105&amp;B105,'計測入力シート（ここのみ編集可）'!$BO$17:$BO$116,0)),"")</f>
        <v>-</v>
      </c>
      <c r="G106" s="278">
        <f t="array" ref="G106">IFERROR(INDEX('計測入力シート（ここのみ編集可）'!$BL$17:$BL$116,MATCH(A105&amp;B105,'計測入力シート（ここのみ編集可）'!$BO$17:$BO$116,0)),"")</f>
        <v>50</v>
      </c>
      <c r="H106" s="279"/>
    </row>
    <row r="107" ht="27.0" customHeight="1">
      <c r="D107" s="280" t="s">
        <v>2</v>
      </c>
      <c r="E107" s="281">
        <f t="array" ref="E107">IFERROR(INDEX('計測入力シート（ここのみ編集可）'!$C$17:$C$116,MATCH(A105&amp;B105,'計測入力シート（ここのみ編集可）'!$BO$17:$BO$116,0)),"")</f>
        <v>25</v>
      </c>
      <c r="F107" s="282" t="s">
        <v>17</v>
      </c>
      <c r="G107" s="283" t="str">
        <f t="array" ref="G107">IFERROR(INDEX('計測入力シート（ここのみ編集可）'!$D$17:$D$116,MATCH(A105&amp;B105,'計測入力シート（ここのみ編集可）'!$BO$17:$BO$116,0)),"")</f>
        <v>さかもっちゃん</v>
      </c>
      <c r="H107" s="284"/>
    </row>
    <row r="108" ht="27.0" customHeight="1">
      <c r="D108" s="285" t="s">
        <v>1</v>
      </c>
      <c r="E108" s="286" t="str">
        <f t="array" ref="E108">IFERROR(INDEX('計測入力シート（ここのみ編集可）'!$B$17:$B$116,MATCH(A105&amp;B105,'計測入力シート（ここのみ編集可）'!$BO$17:$BO$116,0)),"")</f>
        <v>N</v>
      </c>
      <c r="F108" s="287" t="s">
        <v>18</v>
      </c>
      <c r="G108" s="288" t="str">
        <f t="array" ref="G108">IFERROR(INDEX('計測入力シート（ここのみ編集可）'!$E$17:$E$116,MATCH(A105&amp;B105,'計測入力シート（ここのみ編集可）'!$BO$17:$BO$116,0)),"")</f>
        <v>690 DUKE</v>
      </c>
      <c r="H108" s="289"/>
    </row>
    <row r="109" ht="24.75" customHeight="1">
      <c r="D109" s="290" t="s">
        <v>92</v>
      </c>
      <c r="E109" s="291" t="str">
        <f t="array" ref="E109">IFERROR(INDEX(#REF!,MATCH(A105&amp;B105,'計測入力シート（ここのみ編集可）'!$BO$17:$BO$116,0)),"")</f>
        <v/>
      </c>
      <c r="H109" s="232"/>
    </row>
    <row r="110" ht="52.5" customHeight="1">
      <c r="D110" s="292" t="s">
        <v>100</v>
      </c>
      <c r="E110" s="293" t="str">
        <f t="array" ref="E110">IFERROR(INDEX(#REF!,MATCH(A105&amp;B105,'計測入力シート（ここのみ編集可）'!$BO$17:$BO$116,0)),"")</f>
        <v/>
      </c>
      <c r="F110" s="95"/>
      <c r="G110" s="95"/>
      <c r="H110" s="96"/>
    </row>
    <row r="111" ht="20.25" customHeight="1">
      <c r="D111" s="294" t="s">
        <v>39</v>
      </c>
      <c r="E111" s="295" t="str">
        <f t="array" ref="E111">IFERROR(INDEX('計測入力シート（ここのみ編集可）'!$AW$17:$AW$116,MATCH(A105&amp;B105,'計測入力シート（ここのみ編集可）'!$BO$17:$BO$116,0)),"")</f>
        <v>2:48:703</v>
      </c>
      <c r="F111" s="296"/>
      <c r="G111" s="297" t="s">
        <v>110</v>
      </c>
      <c r="H111" s="298" t="str">
        <f t="array" ref="H111">IFERROR(INDEX('計測入力シート（ここのみ編集可）'!$AY$17:$AY$116,MATCH(A105&amp;B105,'計測入力シート（ここのみ編集可）'!$BO$17:$BO$116,0)),"")</f>
        <v>-</v>
      </c>
    </row>
    <row r="112" ht="20.25" customHeight="1">
      <c r="D112" s="299" t="s">
        <v>42</v>
      </c>
      <c r="E112" s="300" t="str">
        <f t="array" ref="E112">IFERROR(INDEX('計測入力シート（ここのみ編集可）'!$AZ$17:$AZ$116,MATCH(A105&amp;B105,'計測入力シート（ここのみ編集可）'!$BO$17:$BO$116,0)),"")</f>
        <v>2:41:056</v>
      </c>
      <c r="F112" s="116"/>
      <c r="G112" s="301" t="s">
        <v>111</v>
      </c>
      <c r="H112" s="302" t="str">
        <f t="array" ref="H112">IFERROR(INDEX('計測入力シート（ここのみ編集可）'!$BB$17:$BB$116,MATCH(A105&amp;B105,'計測入力シート（ここのみ編集可）'!$BO$17:$BO$116,0)),"")</f>
        <v>-</v>
      </c>
    </row>
    <row r="113" ht="20.25" customHeight="1">
      <c r="D113" s="303" t="s">
        <v>112</v>
      </c>
      <c r="E113" s="304" t="str">
        <f t="array" ref="E113">IFERROR(INDEX('計測入力シート（ここのみ編集可）'!$BC$17:$BC$116,MATCH(A105&amp;B105,'計測入力シート（ここのみ編集可）'!$BO$17:$BO$116,0)),"")</f>
        <v>2:41:056</v>
      </c>
      <c r="F113" s="305"/>
      <c r="G113" s="306" t="s">
        <v>25</v>
      </c>
      <c r="H113" s="307">
        <f t="array" ref="H113">IFERROR(INDEX('計測入力シート（ここのみ編集可）'!$BD$17:$BD$116,MATCH(A105&amp;B105,'計測入力シート（ここのみ編集可）'!$BO$17:$BO$116,0)),"")</f>
        <v>1.650062496</v>
      </c>
    </row>
    <row r="114" ht="20.25" customHeight="1">
      <c r="D114" s="308"/>
    </row>
    <row r="115" ht="27.0" customHeight="1">
      <c r="A115" s="52" t="str">
        <f>A105</f>
        <v>N</v>
      </c>
      <c r="B115" s="52">
        <f>B105+1</f>
        <v>12</v>
      </c>
      <c r="D115" s="271" t="s">
        <v>80</v>
      </c>
      <c r="E115" s="272" t="s">
        <v>81</v>
      </c>
      <c r="F115" s="272" t="s">
        <v>82</v>
      </c>
      <c r="G115" s="273" t="s">
        <v>49</v>
      </c>
      <c r="H115" s="274"/>
    </row>
    <row r="116" ht="27.0" customHeight="1">
      <c r="A116" s="86"/>
      <c r="B116" s="86"/>
      <c r="D116" s="275" t="str">
        <f t="array" ref="D116">IFERROR(INDEX('計測入力シート（ここのみ編集可）'!$BN$17:$BN$116,MATCH(A115&amp;B115,'計測入力シート（ここのみ編集可）'!$BO$17:$BO$116,0)),"")</f>
        <v/>
      </c>
      <c r="E116" s="276" t="str">
        <f t="array" ref="E116">IFERROR(INDEX('計測入力シート（ここのみ編集可）'!$BP$17:$BP$116,MATCH(A115&amp;B115,'計測入力シート（ここのみ編集可）'!$BO$17:$BO$116,0)),"")</f>
        <v/>
      </c>
      <c r="F116" s="277" t="str">
        <f t="array" ref="F116">IFERROR(INDEX('計測入力シート（ここのみ編集可）'!$BR$17:$BR$116,MATCH(A115&amp;B115,'計測入力シート（ここのみ編集可）'!$BO$17:$BO$116,0)),"")</f>
        <v/>
      </c>
      <c r="G116" s="278" t="str">
        <f t="array" ref="G116">IFERROR(INDEX('計測入力シート（ここのみ編集可）'!$BL$17:$BL$116,MATCH(A115&amp;B115,'計測入力シート（ここのみ編集可）'!$BO$17:$BO$116,0)),"")</f>
        <v/>
      </c>
      <c r="H116" s="279"/>
    </row>
    <row r="117" ht="27.0" customHeight="1">
      <c r="D117" s="280" t="s">
        <v>2</v>
      </c>
      <c r="E117" s="281" t="str">
        <f t="array" ref="E117">IFERROR(INDEX('計測入力シート（ここのみ編集可）'!$C$17:$C$116,MATCH(A115&amp;B115,'計測入力シート（ここのみ編集可）'!$BO$17:$BO$116,0)),"")</f>
        <v/>
      </c>
      <c r="F117" s="282" t="s">
        <v>17</v>
      </c>
      <c r="G117" s="283" t="str">
        <f t="array" ref="G117">IFERROR(INDEX('計測入力シート（ここのみ編集可）'!$D$17:$D$116,MATCH(A115&amp;B115,'計測入力シート（ここのみ編集可）'!$BO$17:$BO$116,0)),"")</f>
        <v/>
      </c>
      <c r="H117" s="284"/>
    </row>
    <row r="118" ht="27.0" customHeight="1">
      <c r="D118" s="285" t="s">
        <v>1</v>
      </c>
      <c r="E118" s="286" t="str">
        <f t="array" ref="E118">IFERROR(INDEX('計測入力シート（ここのみ編集可）'!$B$17:$B$116,MATCH(A115&amp;B115,'計測入力シート（ここのみ編集可）'!$BO$17:$BO$116,0)),"")</f>
        <v/>
      </c>
      <c r="F118" s="287" t="s">
        <v>18</v>
      </c>
      <c r="G118" s="288" t="str">
        <f t="array" ref="G118">IFERROR(INDEX('計測入力シート（ここのみ編集可）'!$E$17:$E$116,MATCH(A115&amp;B115,'計測入力シート（ここのみ編集可）'!$BO$17:$BO$116,0)),"")</f>
        <v/>
      </c>
      <c r="H118" s="289"/>
    </row>
    <row r="119" ht="24.75" customHeight="1">
      <c r="D119" s="290" t="s">
        <v>92</v>
      </c>
      <c r="E119" s="291" t="str">
        <f t="array" ref="E119">IFERROR(INDEX(#REF!,MATCH(A115&amp;B115,'計測入力シート（ここのみ編集可）'!$BO$17:$BO$116,0)),"")</f>
        <v/>
      </c>
      <c r="H119" s="232"/>
    </row>
    <row r="120" ht="52.5" customHeight="1">
      <c r="D120" s="292" t="s">
        <v>100</v>
      </c>
      <c r="E120" s="293" t="str">
        <f t="array" ref="E120">IFERROR(INDEX(#REF!,MATCH(A115&amp;B115,'計測入力シート（ここのみ編集可）'!$BO$17:$BO$116,0)),"")</f>
        <v/>
      </c>
      <c r="F120" s="95"/>
      <c r="G120" s="95"/>
      <c r="H120" s="96"/>
    </row>
    <row r="121" ht="20.25" customHeight="1">
      <c r="D121" s="294" t="s">
        <v>39</v>
      </c>
      <c r="E121" s="295" t="str">
        <f t="array" ref="E121">IFERROR(INDEX('計測入力シート（ここのみ編集可）'!$AW$17:$AW$116,MATCH(A115&amp;B115,'計測入力シート（ここのみ編集可）'!$BO$17:$BO$116,0)),"")</f>
        <v/>
      </c>
      <c r="F121" s="296"/>
      <c r="G121" s="297" t="s">
        <v>110</v>
      </c>
      <c r="H121" s="298" t="str">
        <f t="array" ref="H121">IFERROR(INDEX('計測入力シート（ここのみ編集可）'!$AY$17:$AY$116,MATCH(A115&amp;B115,'計測入力シート（ここのみ編集可）'!$BO$17:$BO$116,0)),"")</f>
        <v/>
      </c>
    </row>
    <row r="122" ht="20.25" customHeight="1">
      <c r="D122" s="299" t="s">
        <v>42</v>
      </c>
      <c r="E122" s="300" t="str">
        <f t="array" ref="E122">IFERROR(INDEX('計測入力シート（ここのみ編集可）'!$AZ$17:$AZ$116,MATCH(A115&amp;B115,'計測入力シート（ここのみ編集可）'!$BO$17:$BO$116,0)),"")</f>
        <v/>
      </c>
      <c r="F122" s="116"/>
      <c r="G122" s="301" t="s">
        <v>111</v>
      </c>
      <c r="H122" s="302" t="str">
        <f t="array" ref="H122">IFERROR(INDEX('計測入力シート（ここのみ編集可）'!$BB$17:$BB$116,MATCH(A115&amp;B115,'計測入力シート（ここのみ編集可）'!$BO$17:$BO$116,0)),"")</f>
        <v/>
      </c>
    </row>
    <row r="123" ht="20.25" customHeight="1">
      <c r="D123" s="303" t="s">
        <v>112</v>
      </c>
      <c r="E123" s="304" t="str">
        <f t="array" ref="E123">IFERROR(INDEX('計測入力シート（ここのみ編集可）'!$BC$17:$BC$116,MATCH(A115&amp;B115,'計測入力シート（ここのみ編集可）'!$BO$17:$BO$116,0)),"")</f>
        <v/>
      </c>
      <c r="F123" s="305"/>
      <c r="G123" s="306" t="s">
        <v>25</v>
      </c>
      <c r="H123" s="307" t="str">
        <f t="array" ref="H123">IFERROR(INDEX('計測入力シート（ここのみ編集可）'!$BD$17:$BD$116,MATCH(A115&amp;B115,'計測入力シート（ここのみ編集可）'!$BO$17:$BO$116,0)),"")</f>
        <v/>
      </c>
    </row>
    <row r="124" ht="20.25" customHeight="1">
      <c r="D124" s="308"/>
    </row>
    <row r="125" ht="27.0" customHeight="1">
      <c r="A125" s="52" t="str">
        <f>A115</f>
        <v>N</v>
      </c>
      <c r="B125" s="52">
        <f>B115+1</f>
        <v>13</v>
      </c>
      <c r="D125" s="271" t="s">
        <v>80</v>
      </c>
      <c r="E125" s="272" t="s">
        <v>81</v>
      </c>
      <c r="F125" s="272" t="s">
        <v>82</v>
      </c>
      <c r="G125" s="273" t="s">
        <v>49</v>
      </c>
      <c r="H125" s="274"/>
    </row>
    <row r="126" ht="27.0" customHeight="1">
      <c r="A126" s="86"/>
      <c r="B126" s="86"/>
      <c r="D126" s="275" t="str">
        <f t="array" ref="D126">IFERROR(INDEX('計測入力シート（ここのみ編集可）'!$BN$17:$BN$116,MATCH(A125&amp;B125,'計測入力シート（ここのみ編集可）'!$BO$17:$BO$116,0)),"")</f>
        <v/>
      </c>
      <c r="E126" s="276" t="str">
        <f t="array" ref="E126">IFERROR(INDEX('計測入力シート（ここのみ編集可）'!$BP$17:$BP$116,MATCH(A125&amp;B125,'計測入力シート（ここのみ編集可）'!$BO$17:$BO$116,0)),"")</f>
        <v/>
      </c>
      <c r="F126" s="277" t="str">
        <f t="array" ref="F126">IFERROR(INDEX('計測入力シート（ここのみ編集可）'!$BR$17:$BR$116,MATCH(A125&amp;B125,'計測入力シート（ここのみ編集可）'!$BO$17:$BO$116,0)),"")</f>
        <v/>
      </c>
      <c r="G126" s="278" t="str">
        <f t="array" ref="G126">IFERROR(INDEX('計測入力シート（ここのみ編集可）'!$BL$17:$BL$116,MATCH(A125&amp;B125,'計測入力シート（ここのみ編集可）'!$BO$17:$BO$116,0)),"")</f>
        <v/>
      </c>
      <c r="H126" s="279"/>
    </row>
    <row r="127" ht="27.0" customHeight="1">
      <c r="D127" s="280" t="s">
        <v>2</v>
      </c>
      <c r="E127" s="281" t="str">
        <f t="array" ref="E127">IFERROR(INDEX('計測入力シート（ここのみ編集可）'!$C$17:$C$116,MATCH(A125&amp;B125,'計測入力シート（ここのみ編集可）'!$BO$17:$BO$116,0)),"")</f>
        <v/>
      </c>
      <c r="F127" s="282" t="s">
        <v>17</v>
      </c>
      <c r="G127" s="283" t="str">
        <f t="array" ref="G127">IFERROR(INDEX('計測入力シート（ここのみ編集可）'!$D$17:$D$116,MATCH(A125&amp;B125,'計測入力シート（ここのみ編集可）'!$BO$17:$BO$116,0)),"")</f>
        <v/>
      </c>
      <c r="H127" s="284"/>
    </row>
    <row r="128" ht="27.0" customHeight="1">
      <c r="D128" s="285" t="s">
        <v>1</v>
      </c>
      <c r="E128" s="286" t="str">
        <f t="array" ref="E128">IFERROR(INDEX('計測入力シート（ここのみ編集可）'!$B$17:$B$116,MATCH(A125&amp;B125,'計測入力シート（ここのみ編集可）'!$BO$17:$BO$116,0)),"")</f>
        <v/>
      </c>
      <c r="F128" s="287" t="s">
        <v>18</v>
      </c>
      <c r="G128" s="288" t="str">
        <f t="array" ref="G128">IFERROR(INDEX('計測入力シート（ここのみ編集可）'!$E$17:$E$116,MATCH(A125&amp;B125,'計測入力シート（ここのみ編集可）'!$BO$17:$BO$116,0)),"")</f>
        <v/>
      </c>
      <c r="H128" s="289"/>
    </row>
    <row r="129" ht="24.75" customHeight="1">
      <c r="D129" s="290" t="s">
        <v>92</v>
      </c>
      <c r="E129" s="291" t="str">
        <f t="array" ref="E129">IFERROR(INDEX(#REF!,MATCH(A125&amp;B125,'計測入力シート（ここのみ編集可）'!$BO$17:$BO$116,0)),"")</f>
        <v/>
      </c>
      <c r="H129" s="232"/>
    </row>
    <row r="130" ht="52.5" customHeight="1">
      <c r="D130" s="292" t="s">
        <v>100</v>
      </c>
      <c r="E130" s="293" t="str">
        <f t="array" ref="E130">IFERROR(INDEX(#REF!,MATCH(A125&amp;B125,'計測入力シート（ここのみ編集可）'!$BO$17:$BO$116,0)),"")</f>
        <v/>
      </c>
      <c r="F130" s="95"/>
      <c r="G130" s="95"/>
      <c r="H130" s="96"/>
    </row>
    <row r="131" ht="20.25" customHeight="1">
      <c r="D131" s="294" t="s">
        <v>39</v>
      </c>
      <c r="E131" s="295" t="str">
        <f t="array" ref="E131">IFERROR(INDEX('計測入力シート（ここのみ編集可）'!$AW$17:$AW$116,MATCH(A125&amp;B125,'計測入力シート（ここのみ編集可）'!$BO$17:$BO$116,0)),"")</f>
        <v/>
      </c>
      <c r="F131" s="296"/>
      <c r="G131" s="297" t="s">
        <v>110</v>
      </c>
      <c r="H131" s="298" t="str">
        <f t="array" ref="H131">IFERROR(INDEX('計測入力シート（ここのみ編集可）'!$AY$17:$AY$116,MATCH(A125&amp;B125,'計測入力シート（ここのみ編集可）'!$BO$17:$BO$116,0)),"")</f>
        <v/>
      </c>
    </row>
    <row r="132" ht="20.25" customHeight="1">
      <c r="D132" s="299" t="s">
        <v>42</v>
      </c>
      <c r="E132" s="300" t="str">
        <f t="array" ref="E132">IFERROR(INDEX('計測入力シート（ここのみ編集可）'!$AZ$17:$AZ$116,MATCH(A125&amp;B125,'計測入力シート（ここのみ編集可）'!$BO$17:$BO$116,0)),"")</f>
        <v/>
      </c>
      <c r="F132" s="116"/>
      <c r="G132" s="301" t="s">
        <v>111</v>
      </c>
      <c r="H132" s="302" t="str">
        <f t="array" ref="H132">IFERROR(INDEX('計測入力シート（ここのみ編集可）'!$BB$17:$BB$116,MATCH(A125&amp;B125,'計測入力シート（ここのみ編集可）'!$BO$17:$BO$116,0)),"")</f>
        <v/>
      </c>
    </row>
    <row r="133" ht="20.25" customHeight="1">
      <c r="D133" s="303" t="s">
        <v>112</v>
      </c>
      <c r="E133" s="304" t="str">
        <f t="array" ref="E133">IFERROR(INDEX('計測入力シート（ここのみ編集可）'!$BC$17:$BC$116,MATCH(A125&amp;B125,'計測入力シート（ここのみ編集可）'!$BO$17:$BO$116,0)),"")</f>
        <v/>
      </c>
      <c r="F133" s="305"/>
      <c r="G133" s="306" t="s">
        <v>25</v>
      </c>
      <c r="H133" s="307" t="str">
        <f t="array" ref="H133">IFERROR(INDEX('計測入力シート（ここのみ編集可）'!$BD$17:$BD$116,MATCH(A125&amp;B125,'計測入力シート（ここのみ編集可）'!$BO$17:$BO$116,0)),"")</f>
        <v/>
      </c>
    </row>
    <row r="134" ht="20.25" customHeight="1">
      <c r="D134" s="308"/>
    </row>
    <row r="135" ht="27.0" customHeight="1">
      <c r="A135" s="52" t="str">
        <f>A125</f>
        <v>N</v>
      </c>
      <c r="B135" s="52">
        <f>B125+1</f>
        <v>14</v>
      </c>
      <c r="D135" s="271" t="s">
        <v>80</v>
      </c>
      <c r="E135" s="272" t="s">
        <v>81</v>
      </c>
      <c r="F135" s="272" t="s">
        <v>82</v>
      </c>
      <c r="G135" s="273" t="s">
        <v>49</v>
      </c>
      <c r="H135" s="274"/>
    </row>
    <row r="136" ht="27.0" customHeight="1">
      <c r="A136" s="86"/>
      <c r="B136" s="86"/>
      <c r="D136" s="275" t="str">
        <f t="array" ref="D136">IFERROR(INDEX('計測入力シート（ここのみ編集可）'!$BN$17:$BN$116,MATCH(A135&amp;B135,'計測入力シート（ここのみ編集可）'!$BO$17:$BO$116,0)),"")</f>
        <v/>
      </c>
      <c r="E136" s="276" t="str">
        <f t="array" ref="E136">IFERROR(INDEX('計測入力シート（ここのみ編集可）'!$BP$17:$BP$116,MATCH(A135&amp;B135,'計測入力シート（ここのみ編集可）'!$BO$17:$BO$116,0)),"")</f>
        <v/>
      </c>
      <c r="F136" s="277" t="str">
        <f t="array" ref="F136">IFERROR(INDEX('計測入力シート（ここのみ編集可）'!$BR$17:$BR$116,MATCH(A135&amp;B135,'計測入力シート（ここのみ編集可）'!$BO$17:$BO$116,0)),"")</f>
        <v/>
      </c>
      <c r="G136" s="278" t="str">
        <f t="array" ref="G136">IFERROR(INDEX('計測入力シート（ここのみ編集可）'!$BL$17:$BL$116,MATCH(A135&amp;B135,'計測入力シート（ここのみ編集可）'!$BO$17:$BO$116,0)),"")</f>
        <v/>
      </c>
      <c r="H136" s="279"/>
    </row>
    <row r="137" ht="27.0" customHeight="1">
      <c r="D137" s="280" t="s">
        <v>2</v>
      </c>
      <c r="E137" s="281" t="str">
        <f t="array" ref="E137">IFERROR(INDEX('計測入力シート（ここのみ編集可）'!$C$17:$C$116,MATCH(A135&amp;B135,'計測入力シート（ここのみ編集可）'!$BO$17:$BO$116,0)),"")</f>
        <v/>
      </c>
      <c r="F137" s="282" t="s">
        <v>17</v>
      </c>
      <c r="G137" s="283" t="str">
        <f t="array" ref="G137">IFERROR(INDEX('計測入力シート（ここのみ編集可）'!$D$17:$D$116,MATCH(A135&amp;B135,'計測入力シート（ここのみ編集可）'!$BO$17:$BO$116,0)),"")</f>
        <v/>
      </c>
      <c r="H137" s="284"/>
    </row>
    <row r="138" ht="27.0" customHeight="1">
      <c r="D138" s="285" t="s">
        <v>1</v>
      </c>
      <c r="E138" s="286" t="str">
        <f t="array" ref="E138">IFERROR(INDEX('計測入力シート（ここのみ編集可）'!$B$17:$B$116,MATCH(A135&amp;B135,'計測入力シート（ここのみ編集可）'!$BO$17:$BO$116,0)),"")</f>
        <v/>
      </c>
      <c r="F138" s="287" t="s">
        <v>18</v>
      </c>
      <c r="G138" s="288" t="str">
        <f t="array" ref="G138">IFERROR(INDEX('計測入力シート（ここのみ編集可）'!$E$17:$E$116,MATCH(A135&amp;B135,'計測入力シート（ここのみ編集可）'!$BO$17:$BO$116,0)),"")</f>
        <v/>
      </c>
      <c r="H138" s="289"/>
    </row>
    <row r="139" ht="24.75" customHeight="1">
      <c r="D139" s="290" t="s">
        <v>92</v>
      </c>
      <c r="E139" s="291" t="str">
        <f t="array" ref="E139">IFERROR(INDEX(#REF!,MATCH(A135&amp;B135,'計測入力シート（ここのみ編集可）'!$BO$17:$BO$116,0)),"")</f>
        <v/>
      </c>
      <c r="H139" s="232"/>
    </row>
    <row r="140" ht="52.5" customHeight="1">
      <c r="D140" s="292" t="s">
        <v>100</v>
      </c>
      <c r="E140" s="293" t="str">
        <f t="array" ref="E140">IFERROR(INDEX(#REF!,MATCH(A135&amp;B135,'計測入力シート（ここのみ編集可）'!$BO$17:$BO$116,0)),"")</f>
        <v/>
      </c>
      <c r="F140" s="95"/>
      <c r="G140" s="95"/>
      <c r="H140" s="96"/>
    </row>
    <row r="141" ht="20.25" customHeight="1">
      <c r="D141" s="294" t="s">
        <v>39</v>
      </c>
      <c r="E141" s="295" t="str">
        <f t="array" ref="E141">IFERROR(INDEX('計測入力シート（ここのみ編集可）'!$AW$17:$AW$116,MATCH(A135&amp;B135,'計測入力シート（ここのみ編集可）'!$BO$17:$BO$116,0)),"")</f>
        <v/>
      </c>
      <c r="F141" s="296"/>
      <c r="G141" s="297" t="s">
        <v>110</v>
      </c>
      <c r="H141" s="298" t="str">
        <f t="array" ref="H141">IFERROR(INDEX('計測入力シート（ここのみ編集可）'!$AY$17:$AY$116,MATCH(A135&amp;B135,'計測入力シート（ここのみ編集可）'!$BO$17:$BO$116,0)),"")</f>
        <v/>
      </c>
    </row>
    <row r="142" ht="20.25" customHeight="1">
      <c r="D142" s="299" t="s">
        <v>42</v>
      </c>
      <c r="E142" s="300" t="str">
        <f t="array" ref="E142">IFERROR(INDEX('計測入力シート（ここのみ編集可）'!$AZ$17:$AZ$116,MATCH(A135&amp;B135,'計測入力シート（ここのみ編集可）'!$BO$17:$BO$116,0)),"")</f>
        <v/>
      </c>
      <c r="F142" s="116"/>
      <c r="G142" s="301" t="s">
        <v>111</v>
      </c>
      <c r="H142" s="302" t="str">
        <f t="array" ref="H142">IFERROR(INDEX('計測入力シート（ここのみ編集可）'!$BB$17:$BB$116,MATCH(A135&amp;B135,'計測入力シート（ここのみ編集可）'!$BO$17:$BO$116,0)),"")</f>
        <v/>
      </c>
    </row>
    <row r="143" ht="20.25" customHeight="1">
      <c r="D143" s="303" t="s">
        <v>112</v>
      </c>
      <c r="E143" s="304" t="str">
        <f t="array" ref="E143">IFERROR(INDEX('計測入力シート（ここのみ編集可）'!$BC$17:$BC$116,MATCH(A135&amp;B135,'計測入力シート（ここのみ編集可）'!$BO$17:$BO$116,0)),"")</f>
        <v/>
      </c>
      <c r="F143" s="305"/>
      <c r="G143" s="306" t="s">
        <v>25</v>
      </c>
      <c r="H143" s="307" t="str">
        <f t="array" ref="H143">IFERROR(INDEX('計測入力シート（ここのみ編集可）'!$BD$17:$BD$116,MATCH(A135&amp;B135,'計測入力シート（ここのみ編集可）'!$BO$17:$BO$116,0)),"")</f>
        <v/>
      </c>
    </row>
    <row r="144" ht="20.25" customHeight="1">
      <c r="D144" s="308"/>
    </row>
    <row r="145" ht="27.0" customHeight="1">
      <c r="A145" s="52" t="str">
        <f>A135</f>
        <v>N</v>
      </c>
      <c r="B145" s="52">
        <f>B135+1</f>
        <v>15</v>
      </c>
      <c r="D145" s="271" t="s">
        <v>80</v>
      </c>
      <c r="E145" s="272" t="s">
        <v>81</v>
      </c>
      <c r="F145" s="272" t="s">
        <v>82</v>
      </c>
      <c r="G145" s="273" t="s">
        <v>49</v>
      </c>
      <c r="H145" s="274"/>
    </row>
    <row r="146" ht="27.0" customHeight="1">
      <c r="A146" s="86"/>
      <c r="B146" s="86"/>
      <c r="D146" s="275" t="str">
        <f t="array" ref="D146">IFERROR(INDEX('計測入力シート（ここのみ編集可）'!$BN$17:$BN$116,MATCH(A145&amp;B145,'計測入力シート（ここのみ編集可）'!$BO$17:$BO$116,0)),"")</f>
        <v/>
      </c>
      <c r="E146" s="276" t="str">
        <f t="array" ref="E146">IFERROR(INDEX('計測入力シート（ここのみ編集可）'!$BP$17:$BP$116,MATCH(A145&amp;B145,'計測入力シート（ここのみ編集可）'!$BO$17:$BO$116,0)),"")</f>
        <v/>
      </c>
      <c r="F146" s="277" t="str">
        <f t="array" ref="F146">IFERROR(INDEX('計測入力シート（ここのみ編集可）'!$BR$17:$BR$116,MATCH(A145&amp;B145,'計測入力シート（ここのみ編集可）'!$BO$17:$BO$116,0)),"")</f>
        <v/>
      </c>
      <c r="G146" s="278" t="str">
        <f t="array" ref="G146">IFERROR(INDEX('計測入力シート（ここのみ編集可）'!$BL$17:$BL$116,MATCH(A145&amp;B145,'計測入力シート（ここのみ編集可）'!$BO$17:$BO$116,0)),"")</f>
        <v/>
      </c>
      <c r="H146" s="279"/>
    </row>
    <row r="147" ht="27.0" customHeight="1">
      <c r="D147" s="280" t="s">
        <v>2</v>
      </c>
      <c r="E147" s="281" t="str">
        <f t="array" ref="E147">IFERROR(INDEX('計測入力シート（ここのみ編集可）'!$C$17:$C$116,MATCH(A145&amp;B145,'計測入力シート（ここのみ編集可）'!$BO$17:$BO$116,0)),"")</f>
        <v/>
      </c>
      <c r="F147" s="282" t="s">
        <v>17</v>
      </c>
      <c r="G147" s="283" t="str">
        <f t="array" ref="G147">IFERROR(INDEX('計測入力シート（ここのみ編集可）'!$D$17:$D$116,MATCH(A145&amp;B145,'計測入力シート（ここのみ編集可）'!$BO$17:$BO$116,0)),"")</f>
        <v/>
      </c>
      <c r="H147" s="284"/>
    </row>
    <row r="148" ht="27.0" customHeight="1">
      <c r="D148" s="285" t="s">
        <v>1</v>
      </c>
      <c r="E148" s="286" t="str">
        <f t="array" ref="E148">IFERROR(INDEX('計測入力シート（ここのみ編集可）'!$B$17:$B$116,MATCH(A145&amp;B145,'計測入力シート（ここのみ編集可）'!$BO$17:$BO$116,0)),"")</f>
        <v/>
      </c>
      <c r="F148" s="287" t="s">
        <v>18</v>
      </c>
      <c r="G148" s="288" t="str">
        <f t="array" ref="G148">IFERROR(INDEX('計測入力シート（ここのみ編集可）'!$E$17:$E$116,MATCH(A145&amp;B145,'計測入力シート（ここのみ編集可）'!$BO$17:$BO$116,0)),"")</f>
        <v/>
      </c>
      <c r="H148" s="289"/>
    </row>
    <row r="149" ht="24.75" customHeight="1">
      <c r="D149" s="290" t="s">
        <v>92</v>
      </c>
      <c r="E149" s="291" t="str">
        <f t="array" ref="E149">IFERROR(INDEX(#REF!,MATCH(A145&amp;B145,'計測入力シート（ここのみ編集可）'!$BO$17:$BO$116,0)),"")</f>
        <v/>
      </c>
      <c r="H149" s="232"/>
    </row>
    <row r="150" ht="52.5" customHeight="1">
      <c r="D150" s="292" t="s">
        <v>100</v>
      </c>
      <c r="E150" s="293" t="str">
        <f t="array" ref="E150">IFERROR(INDEX(#REF!,MATCH(A145&amp;B145,'計測入力シート（ここのみ編集可）'!$BO$17:$BO$116,0)),"")</f>
        <v/>
      </c>
      <c r="F150" s="95"/>
      <c r="G150" s="95"/>
      <c r="H150" s="96"/>
    </row>
    <row r="151" ht="20.25" customHeight="1">
      <c r="D151" s="294" t="s">
        <v>39</v>
      </c>
      <c r="E151" s="295" t="str">
        <f t="array" ref="E151">IFERROR(INDEX('計測入力シート（ここのみ編集可）'!$AW$17:$AW$116,MATCH(A145&amp;B145,'計測入力シート（ここのみ編集可）'!$BO$17:$BO$116,0)),"")</f>
        <v/>
      </c>
      <c r="F151" s="296"/>
      <c r="G151" s="297" t="s">
        <v>110</v>
      </c>
      <c r="H151" s="298" t="str">
        <f t="array" ref="H151">IFERROR(INDEX('計測入力シート（ここのみ編集可）'!$AY$17:$AY$116,MATCH(A145&amp;B145,'計測入力シート（ここのみ編集可）'!$BO$17:$BO$116,0)),"")</f>
        <v/>
      </c>
    </row>
    <row r="152" ht="20.25" customHeight="1">
      <c r="D152" s="299" t="s">
        <v>42</v>
      </c>
      <c r="E152" s="300" t="str">
        <f t="array" ref="E152">IFERROR(INDEX('計測入力シート（ここのみ編集可）'!$AZ$17:$AZ$116,MATCH(A145&amp;B145,'計測入力シート（ここのみ編集可）'!$BO$17:$BO$116,0)),"")</f>
        <v/>
      </c>
      <c r="F152" s="116"/>
      <c r="G152" s="301" t="s">
        <v>111</v>
      </c>
      <c r="H152" s="302" t="str">
        <f t="array" ref="H152">IFERROR(INDEX('計測入力シート（ここのみ編集可）'!$BB$17:$BB$116,MATCH(A145&amp;B145,'計測入力シート（ここのみ編集可）'!$BO$17:$BO$116,0)),"")</f>
        <v/>
      </c>
    </row>
    <row r="153" ht="20.25" customHeight="1">
      <c r="D153" s="303" t="s">
        <v>112</v>
      </c>
      <c r="E153" s="304" t="str">
        <f t="array" ref="E153">IFERROR(INDEX('計測入力シート（ここのみ編集可）'!$BC$17:$BC$116,MATCH(A145&amp;B145,'計測入力シート（ここのみ編集可）'!$BO$17:$BO$116,0)),"")</f>
        <v/>
      </c>
      <c r="F153" s="305"/>
      <c r="G153" s="306" t="s">
        <v>25</v>
      </c>
      <c r="H153" s="307" t="str">
        <f t="array" ref="H153">IFERROR(INDEX('計測入力シート（ここのみ編集可）'!$BD$17:$BD$116,MATCH(A145&amp;B145,'計測入力シート（ここのみ編集可）'!$BO$17:$BO$116,0)),"")</f>
        <v/>
      </c>
    </row>
    <row r="154" ht="20.25" customHeight="1">
      <c r="D154" s="308"/>
    </row>
    <row r="155" ht="27.0" customHeight="1">
      <c r="A155" s="52" t="str">
        <f>A145</f>
        <v>N</v>
      </c>
      <c r="B155" s="52">
        <f>B145+1</f>
        <v>16</v>
      </c>
      <c r="D155" s="271" t="s">
        <v>80</v>
      </c>
      <c r="E155" s="272" t="s">
        <v>81</v>
      </c>
      <c r="F155" s="272" t="s">
        <v>82</v>
      </c>
      <c r="G155" s="273" t="s">
        <v>49</v>
      </c>
      <c r="H155" s="274"/>
    </row>
    <row r="156" ht="27.0" customHeight="1">
      <c r="A156" s="86"/>
      <c r="B156" s="86"/>
      <c r="D156" s="275" t="str">
        <f t="array" ref="D156">IFERROR(INDEX('計測入力シート（ここのみ編集可）'!$BN$17:$BN$116,MATCH(A155&amp;B155,'計測入力シート（ここのみ編集可）'!$BO$17:$BO$116,0)),"")</f>
        <v/>
      </c>
      <c r="E156" s="276" t="str">
        <f t="array" ref="E156">IFERROR(INDEX('計測入力シート（ここのみ編集可）'!$BP$17:$BP$116,MATCH(A155&amp;B155,'計測入力シート（ここのみ編集可）'!$BO$17:$BO$116,0)),"")</f>
        <v/>
      </c>
      <c r="F156" s="277" t="str">
        <f t="array" ref="F156">IFERROR(INDEX('計測入力シート（ここのみ編集可）'!$BR$17:$BR$116,MATCH(A155&amp;B155,'計測入力シート（ここのみ編集可）'!$BO$17:$BO$116,0)),"")</f>
        <v/>
      </c>
      <c r="G156" s="278" t="str">
        <f t="array" ref="G156">IFERROR(INDEX('計測入力シート（ここのみ編集可）'!$BL$17:$BL$116,MATCH(A155&amp;B155,'計測入力シート（ここのみ編集可）'!$BO$17:$BO$116,0)),"")</f>
        <v/>
      </c>
      <c r="H156" s="279"/>
    </row>
    <row r="157" ht="27.0" customHeight="1">
      <c r="D157" s="280" t="s">
        <v>2</v>
      </c>
      <c r="E157" s="281" t="str">
        <f t="array" ref="E157">IFERROR(INDEX('計測入力シート（ここのみ編集可）'!$C$17:$C$116,MATCH(A155&amp;B155,'計測入力シート（ここのみ編集可）'!$BO$17:$BO$116,0)),"")</f>
        <v/>
      </c>
      <c r="F157" s="282" t="s">
        <v>17</v>
      </c>
      <c r="G157" s="283" t="str">
        <f t="array" ref="G157">IFERROR(INDEX('計測入力シート（ここのみ編集可）'!$D$17:$D$116,MATCH(A155&amp;B155,'計測入力シート（ここのみ編集可）'!$BO$17:$BO$116,0)),"")</f>
        <v/>
      </c>
      <c r="H157" s="284"/>
    </row>
    <row r="158" ht="27.0" customHeight="1">
      <c r="D158" s="285" t="s">
        <v>1</v>
      </c>
      <c r="E158" s="286" t="str">
        <f t="array" ref="E158">IFERROR(INDEX('計測入力シート（ここのみ編集可）'!$B$17:$B$116,MATCH(A155&amp;B155,'計測入力シート（ここのみ編集可）'!$BO$17:$BO$116,0)),"")</f>
        <v/>
      </c>
      <c r="F158" s="287" t="s">
        <v>18</v>
      </c>
      <c r="G158" s="288" t="str">
        <f t="array" ref="G158">IFERROR(INDEX('計測入力シート（ここのみ編集可）'!$E$17:$E$116,MATCH(A155&amp;B155,'計測入力シート（ここのみ編集可）'!$BO$17:$BO$116,0)),"")</f>
        <v/>
      </c>
      <c r="H158" s="289"/>
    </row>
    <row r="159" ht="24.75" customHeight="1">
      <c r="D159" s="290" t="s">
        <v>92</v>
      </c>
      <c r="E159" s="291" t="str">
        <f t="array" ref="E159">IFERROR(INDEX(#REF!,MATCH(A155&amp;B155,'計測入力シート（ここのみ編集可）'!$BO$17:$BO$116,0)),"")</f>
        <v/>
      </c>
      <c r="H159" s="232"/>
    </row>
    <row r="160" ht="52.5" customHeight="1">
      <c r="D160" s="292" t="s">
        <v>100</v>
      </c>
      <c r="E160" s="293" t="str">
        <f t="array" ref="E160">IFERROR(INDEX(#REF!,MATCH(A155&amp;B155,'計測入力シート（ここのみ編集可）'!$BO$17:$BO$116,0)),"")</f>
        <v/>
      </c>
      <c r="F160" s="95"/>
      <c r="G160" s="95"/>
      <c r="H160" s="96"/>
    </row>
    <row r="161" ht="20.25" customHeight="1">
      <c r="D161" s="294" t="s">
        <v>39</v>
      </c>
      <c r="E161" s="295" t="str">
        <f t="array" ref="E161">IFERROR(INDEX('計測入力シート（ここのみ編集可）'!$AW$17:$AW$116,MATCH(A155&amp;B155,'計測入力シート（ここのみ編集可）'!$BO$17:$BO$116,0)),"")</f>
        <v/>
      </c>
      <c r="F161" s="296"/>
      <c r="G161" s="297" t="s">
        <v>110</v>
      </c>
      <c r="H161" s="298" t="str">
        <f t="array" ref="H161">IFERROR(INDEX('計測入力シート（ここのみ編集可）'!$AY$17:$AY$116,MATCH(A155&amp;B155,'計測入力シート（ここのみ編集可）'!$BO$17:$BO$116,0)),"")</f>
        <v/>
      </c>
    </row>
    <row r="162" ht="20.25" customHeight="1">
      <c r="D162" s="299" t="s">
        <v>42</v>
      </c>
      <c r="E162" s="300" t="str">
        <f t="array" ref="E162">IFERROR(INDEX('計測入力シート（ここのみ編集可）'!$AZ$17:$AZ$116,MATCH(A155&amp;B155,'計測入力シート（ここのみ編集可）'!$BO$17:$BO$116,0)),"")</f>
        <v/>
      </c>
      <c r="F162" s="116"/>
      <c r="G162" s="301" t="s">
        <v>111</v>
      </c>
      <c r="H162" s="302" t="str">
        <f t="array" ref="H162">IFERROR(INDEX('計測入力シート（ここのみ編集可）'!$BB$17:$BB$116,MATCH(A155&amp;B155,'計測入力シート（ここのみ編集可）'!$BO$17:$BO$116,0)),"")</f>
        <v/>
      </c>
    </row>
    <row r="163" ht="20.25" customHeight="1">
      <c r="D163" s="303" t="s">
        <v>112</v>
      </c>
      <c r="E163" s="304" t="str">
        <f t="array" ref="E163">IFERROR(INDEX('計測入力シート（ここのみ編集可）'!$BC$17:$BC$116,MATCH(A155&amp;B155,'計測入力シート（ここのみ編集可）'!$BO$17:$BO$116,0)),"")</f>
        <v/>
      </c>
      <c r="F163" s="305"/>
      <c r="G163" s="306" t="s">
        <v>25</v>
      </c>
      <c r="H163" s="307" t="str">
        <f t="array" ref="H163">IFERROR(INDEX('計測入力シート（ここのみ編集可）'!$BD$17:$BD$116,MATCH(A155&amp;B155,'計測入力シート（ここのみ編集可）'!$BO$17:$BO$116,0)),"")</f>
        <v/>
      </c>
    </row>
    <row r="164" ht="20.25" customHeight="1">
      <c r="D164" s="308"/>
    </row>
    <row r="165" ht="27.0" customHeight="1">
      <c r="A165" s="52" t="str">
        <f>A155</f>
        <v>N</v>
      </c>
      <c r="B165" s="52">
        <f>B155+1</f>
        <v>17</v>
      </c>
      <c r="D165" s="271" t="s">
        <v>80</v>
      </c>
      <c r="E165" s="272" t="s">
        <v>81</v>
      </c>
      <c r="F165" s="272" t="s">
        <v>82</v>
      </c>
      <c r="G165" s="273" t="s">
        <v>49</v>
      </c>
      <c r="H165" s="274"/>
    </row>
    <row r="166" ht="27.0" customHeight="1">
      <c r="A166" s="86"/>
      <c r="B166" s="86"/>
      <c r="D166" s="275" t="str">
        <f t="array" ref="D166">IFERROR(INDEX('計測入力シート（ここのみ編集可）'!$BN$17:$BN$116,MATCH(A165&amp;B165,'計測入力シート（ここのみ編集可）'!$BO$17:$BO$116,0)),"")</f>
        <v/>
      </c>
      <c r="E166" s="276" t="str">
        <f t="array" ref="E166">IFERROR(INDEX('計測入力シート（ここのみ編集可）'!$BP$17:$BP$116,MATCH(A165&amp;B165,'計測入力シート（ここのみ編集可）'!$BO$17:$BO$116,0)),"")</f>
        <v/>
      </c>
      <c r="F166" s="277" t="str">
        <f t="array" ref="F166">IFERROR(INDEX('計測入力シート（ここのみ編集可）'!$BR$17:$BR$116,MATCH(A165&amp;B165,'計測入力シート（ここのみ編集可）'!$BO$17:$BO$116,0)),"")</f>
        <v/>
      </c>
      <c r="G166" s="278" t="str">
        <f t="array" ref="G166">IFERROR(INDEX('計測入力シート（ここのみ編集可）'!$BL$17:$BL$116,MATCH(A165&amp;B165,'計測入力シート（ここのみ編集可）'!$BO$17:$BO$116,0)),"")</f>
        <v/>
      </c>
      <c r="H166" s="279"/>
    </row>
    <row r="167" ht="27.0" customHeight="1">
      <c r="D167" s="280" t="s">
        <v>2</v>
      </c>
      <c r="E167" s="281" t="str">
        <f t="array" ref="E167">IFERROR(INDEX('計測入力シート（ここのみ編集可）'!$C$17:$C$116,MATCH(A165&amp;B165,'計測入力シート（ここのみ編集可）'!$BO$17:$BO$116,0)),"")</f>
        <v/>
      </c>
      <c r="F167" s="282" t="s">
        <v>17</v>
      </c>
      <c r="G167" s="283" t="str">
        <f t="array" ref="G167">IFERROR(INDEX('計測入力シート（ここのみ編集可）'!$D$17:$D$116,MATCH(A165&amp;B165,'計測入力シート（ここのみ編集可）'!$BO$17:$BO$116,0)),"")</f>
        <v/>
      </c>
      <c r="H167" s="284"/>
    </row>
    <row r="168" ht="27.0" customHeight="1">
      <c r="D168" s="285" t="s">
        <v>1</v>
      </c>
      <c r="E168" s="286" t="str">
        <f t="array" ref="E168">IFERROR(INDEX('計測入力シート（ここのみ編集可）'!$B$17:$B$116,MATCH(A165&amp;B165,'計測入力シート（ここのみ編集可）'!$BO$17:$BO$116,0)),"")</f>
        <v/>
      </c>
      <c r="F168" s="287" t="s">
        <v>18</v>
      </c>
      <c r="G168" s="288" t="str">
        <f t="array" ref="G168">IFERROR(INDEX('計測入力シート（ここのみ編集可）'!$E$17:$E$116,MATCH(A165&amp;B165,'計測入力シート（ここのみ編集可）'!$BO$17:$BO$116,0)),"")</f>
        <v/>
      </c>
      <c r="H168" s="289"/>
    </row>
    <row r="169" ht="24.75" customHeight="1">
      <c r="D169" s="290" t="s">
        <v>92</v>
      </c>
      <c r="E169" s="291" t="str">
        <f t="array" ref="E169">IFERROR(INDEX(#REF!,MATCH(A165&amp;B165,'計測入力シート（ここのみ編集可）'!$BO$17:$BO$116,0)),"")</f>
        <v/>
      </c>
      <c r="H169" s="232"/>
    </row>
    <row r="170" ht="52.5" customHeight="1">
      <c r="D170" s="292" t="s">
        <v>100</v>
      </c>
      <c r="E170" s="293" t="str">
        <f t="array" ref="E170">IFERROR(INDEX(#REF!,MATCH(A165&amp;B165,'計測入力シート（ここのみ編集可）'!$BO$17:$BO$116,0)),"")</f>
        <v/>
      </c>
      <c r="F170" s="95"/>
      <c r="G170" s="95"/>
      <c r="H170" s="96"/>
    </row>
    <row r="171" ht="20.25" customHeight="1">
      <c r="D171" s="294" t="s">
        <v>39</v>
      </c>
      <c r="E171" s="295" t="str">
        <f t="array" ref="E171">IFERROR(INDEX('計測入力シート（ここのみ編集可）'!$AW$17:$AW$116,MATCH(A165&amp;B165,'計測入力シート（ここのみ編集可）'!$BO$17:$BO$116,0)),"")</f>
        <v/>
      </c>
      <c r="F171" s="296"/>
      <c r="G171" s="297" t="s">
        <v>110</v>
      </c>
      <c r="H171" s="298" t="str">
        <f t="array" ref="H171">IFERROR(INDEX('計測入力シート（ここのみ編集可）'!$AY$17:$AY$116,MATCH(A165&amp;B165,'計測入力シート（ここのみ編集可）'!$BO$17:$BO$116,0)),"")</f>
        <v/>
      </c>
    </row>
    <row r="172" ht="20.25" customHeight="1">
      <c r="D172" s="299" t="s">
        <v>42</v>
      </c>
      <c r="E172" s="300" t="str">
        <f t="array" ref="E172">IFERROR(INDEX('計測入力シート（ここのみ編集可）'!$AZ$17:$AZ$116,MATCH(A165&amp;B165,'計測入力シート（ここのみ編集可）'!$BO$17:$BO$116,0)),"")</f>
        <v/>
      </c>
      <c r="F172" s="116"/>
      <c r="G172" s="301" t="s">
        <v>111</v>
      </c>
      <c r="H172" s="302" t="str">
        <f t="array" ref="H172">IFERROR(INDEX('計測入力シート（ここのみ編集可）'!$BB$17:$BB$116,MATCH(A165&amp;B165,'計測入力シート（ここのみ編集可）'!$BO$17:$BO$116,0)),"")</f>
        <v/>
      </c>
    </row>
    <row r="173" ht="20.25" customHeight="1">
      <c r="D173" s="303" t="s">
        <v>112</v>
      </c>
      <c r="E173" s="304" t="str">
        <f t="array" ref="E173">IFERROR(INDEX('計測入力シート（ここのみ編集可）'!$BC$17:$BC$116,MATCH(A165&amp;B165,'計測入力シート（ここのみ編集可）'!$BO$17:$BO$116,0)),"")</f>
        <v/>
      </c>
      <c r="F173" s="305"/>
      <c r="G173" s="306" t="s">
        <v>25</v>
      </c>
      <c r="H173" s="307" t="str">
        <f t="array" ref="H173">IFERROR(INDEX('計測入力シート（ここのみ編集可）'!$BD$17:$BD$116,MATCH(A165&amp;B165,'計測入力シート（ここのみ編集可）'!$BO$17:$BO$116,0)),"")</f>
        <v/>
      </c>
    </row>
    <row r="174" ht="20.25" customHeight="1">
      <c r="D174" s="308"/>
    </row>
    <row r="175" ht="27.0" customHeight="1">
      <c r="A175" s="52" t="str">
        <f>A165</f>
        <v>N</v>
      </c>
      <c r="B175" s="52">
        <f>B165+1</f>
        <v>18</v>
      </c>
      <c r="D175" s="271" t="s">
        <v>80</v>
      </c>
      <c r="E175" s="272" t="s">
        <v>81</v>
      </c>
      <c r="F175" s="272" t="s">
        <v>82</v>
      </c>
      <c r="G175" s="273" t="s">
        <v>49</v>
      </c>
      <c r="H175" s="274"/>
    </row>
    <row r="176" ht="27.0" customHeight="1">
      <c r="A176" s="86"/>
      <c r="B176" s="86"/>
      <c r="D176" s="275" t="str">
        <f t="array" ref="D176">IFERROR(INDEX('計測入力シート（ここのみ編集可）'!$BN$17:$BN$116,MATCH(A175&amp;B175,'計測入力シート（ここのみ編集可）'!$BO$17:$BO$116,0)),"")</f>
        <v/>
      </c>
      <c r="E176" s="276" t="str">
        <f t="array" ref="E176">IFERROR(INDEX('計測入力シート（ここのみ編集可）'!$BP$17:$BP$116,MATCH(A175&amp;B175,'計測入力シート（ここのみ編集可）'!$BO$17:$BO$116,0)),"")</f>
        <v/>
      </c>
      <c r="F176" s="277" t="str">
        <f t="array" ref="F176">IFERROR(INDEX('計測入力シート（ここのみ編集可）'!$BR$17:$BR$116,MATCH(A175&amp;B175,'計測入力シート（ここのみ編集可）'!$BO$17:$BO$116,0)),"")</f>
        <v/>
      </c>
      <c r="G176" s="278" t="str">
        <f t="array" ref="G176">IFERROR(INDEX('計測入力シート（ここのみ編集可）'!$BL$17:$BL$116,MATCH(A175&amp;B175,'計測入力シート（ここのみ編集可）'!$BO$17:$BO$116,0)),"")</f>
        <v/>
      </c>
      <c r="H176" s="279"/>
    </row>
    <row r="177" ht="27.0" customHeight="1">
      <c r="D177" s="280" t="s">
        <v>2</v>
      </c>
      <c r="E177" s="281" t="str">
        <f t="array" ref="E177">IFERROR(INDEX('計測入力シート（ここのみ編集可）'!$C$17:$C$116,MATCH(A175&amp;B175,'計測入力シート（ここのみ編集可）'!$BO$17:$BO$116,0)),"")</f>
        <v/>
      </c>
      <c r="F177" s="282" t="s">
        <v>17</v>
      </c>
      <c r="G177" s="283" t="str">
        <f t="array" ref="G177">IFERROR(INDEX('計測入力シート（ここのみ編集可）'!$D$17:$D$116,MATCH(A175&amp;B175,'計測入力シート（ここのみ編集可）'!$BO$17:$BO$116,0)),"")</f>
        <v/>
      </c>
      <c r="H177" s="284"/>
    </row>
    <row r="178" ht="27.0" customHeight="1">
      <c r="D178" s="285" t="s">
        <v>1</v>
      </c>
      <c r="E178" s="286" t="str">
        <f t="array" ref="E178">IFERROR(INDEX('計測入力シート（ここのみ編集可）'!$B$17:$B$116,MATCH(A175&amp;B175,'計測入力シート（ここのみ編集可）'!$BO$17:$BO$116,0)),"")</f>
        <v/>
      </c>
      <c r="F178" s="287" t="s">
        <v>18</v>
      </c>
      <c r="G178" s="288" t="str">
        <f t="array" ref="G178">IFERROR(INDEX('計測入力シート（ここのみ編集可）'!$E$17:$E$116,MATCH(A175&amp;B175,'計測入力シート（ここのみ編集可）'!$BO$17:$BO$116,0)),"")</f>
        <v/>
      </c>
      <c r="H178" s="289"/>
    </row>
    <row r="179" ht="24.75" customHeight="1">
      <c r="D179" s="290" t="s">
        <v>92</v>
      </c>
      <c r="E179" s="291" t="str">
        <f t="array" ref="E179">IFERROR(INDEX(#REF!,MATCH(A175&amp;B175,'計測入力シート（ここのみ編集可）'!$BO$17:$BO$116,0)),"")</f>
        <v/>
      </c>
      <c r="H179" s="232"/>
    </row>
    <row r="180" ht="52.5" customHeight="1">
      <c r="D180" s="292" t="s">
        <v>100</v>
      </c>
      <c r="E180" s="293" t="str">
        <f t="array" ref="E180">IFERROR(INDEX(#REF!,MATCH(A175&amp;B175,'計測入力シート（ここのみ編集可）'!$BO$17:$BO$116,0)),"")</f>
        <v/>
      </c>
      <c r="F180" s="95"/>
      <c r="G180" s="95"/>
      <c r="H180" s="96"/>
    </row>
    <row r="181" ht="20.25" customHeight="1">
      <c r="D181" s="294" t="s">
        <v>39</v>
      </c>
      <c r="E181" s="295" t="str">
        <f t="array" ref="E181">IFERROR(INDEX('計測入力シート（ここのみ編集可）'!$AW$17:$AW$116,MATCH(A175&amp;B175,'計測入力シート（ここのみ編集可）'!$BO$17:$BO$116,0)),"")</f>
        <v/>
      </c>
      <c r="F181" s="296"/>
      <c r="G181" s="297" t="s">
        <v>110</v>
      </c>
      <c r="H181" s="298" t="str">
        <f t="array" ref="H181">IFERROR(INDEX('計測入力シート（ここのみ編集可）'!$AY$17:$AY$116,MATCH(A175&amp;B175,'計測入力シート（ここのみ編集可）'!$BO$17:$BO$116,0)),"")</f>
        <v/>
      </c>
    </row>
    <row r="182" ht="20.25" customHeight="1">
      <c r="D182" s="299" t="s">
        <v>42</v>
      </c>
      <c r="E182" s="300" t="str">
        <f t="array" ref="E182">IFERROR(INDEX('計測入力シート（ここのみ編集可）'!$AZ$17:$AZ$116,MATCH(A175&amp;B175,'計測入力シート（ここのみ編集可）'!$BO$17:$BO$116,0)),"")</f>
        <v/>
      </c>
      <c r="F182" s="116"/>
      <c r="G182" s="301" t="s">
        <v>111</v>
      </c>
      <c r="H182" s="302" t="str">
        <f t="array" ref="H182">IFERROR(INDEX('計測入力シート（ここのみ編集可）'!$BB$17:$BB$116,MATCH(A175&amp;B175,'計測入力シート（ここのみ編集可）'!$BO$17:$BO$116,0)),"")</f>
        <v/>
      </c>
    </row>
    <row r="183" ht="20.25" customHeight="1">
      <c r="D183" s="303" t="s">
        <v>112</v>
      </c>
      <c r="E183" s="304" t="str">
        <f t="array" ref="E183">IFERROR(INDEX('計測入力シート（ここのみ編集可）'!$BC$17:$BC$116,MATCH(A175&amp;B175,'計測入力シート（ここのみ編集可）'!$BO$17:$BO$116,0)),"")</f>
        <v/>
      </c>
      <c r="F183" s="305"/>
      <c r="G183" s="306" t="s">
        <v>25</v>
      </c>
      <c r="H183" s="307" t="str">
        <f t="array" ref="H183">IFERROR(INDEX('計測入力シート（ここのみ編集可）'!$BD$17:$BD$116,MATCH(A175&amp;B175,'計測入力シート（ここのみ編集可）'!$BO$17:$BO$116,0)),"")</f>
        <v/>
      </c>
    </row>
    <row r="184" ht="20.25" customHeight="1">
      <c r="D184" s="308"/>
    </row>
    <row r="185" ht="27.0" customHeight="1">
      <c r="A185" s="52" t="str">
        <f>A175</f>
        <v>N</v>
      </c>
      <c r="B185" s="52">
        <f>B175+1</f>
        <v>19</v>
      </c>
      <c r="D185" s="271" t="s">
        <v>80</v>
      </c>
      <c r="E185" s="272" t="s">
        <v>81</v>
      </c>
      <c r="F185" s="272" t="s">
        <v>82</v>
      </c>
      <c r="G185" s="273" t="s">
        <v>49</v>
      </c>
      <c r="H185" s="274"/>
    </row>
    <row r="186" ht="27.0" customHeight="1">
      <c r="A186" s="86"/>
      <c r="B186" s="86"/>
      <c r="D186" s="275" t="str">
        <f t="array" ref="D186">IFERROR(INDEX('計測入力シート（ここのみ編集可）'!$BN$17:$BN$116,MATCH(A185&amp;B185,'計測入力シート（ここのみ編集可）'!$BO$17:$BO$116,0)),"")</f>
        <v/>
      </c>
      <c r="E186" s="276" t="str">
        <f t="array" ref="E186">IFERROR(INDEX('計測入力シート（ここのみ編集可）'!$BP$17:$BP$116,MATCH(A185&amp;B185,'計測入力シート（ここのみ編集可）'!$BO$17:$BO$116,0)),"")</f>
        <v/>
      </c>
      <c r="F186" s="277" t="str">
        <f t="array" ref="F186">IFERROR(INDEX('計測入力シート（ここのみ編集可）'!$BR$17:$BR$116,MATCH(A185&amp;B185,'計測入力シート（ここのみ編集可）'!$BO$17:$BO$116,0)),"")</f>
        <v/>
      </c>
      <c r="G186" s="278" t="str">
        <f t="array" ref="G186">IFERROR(INDEX('計測入力シート（ここのみ編集可）'!$BL$17:$BL$116,MATCH(A185&amp;B185,'計測入力シート（ここのみ編集可）'!$BO$17:$BO$116,0)),"")</f>
        <v/>
      </c>
      <c r="H186" s="279"/>
    </row>
    <row r="187" ht="27.0" customHeight="1">
      <c r="D187" s="280" t="s">
        <v>2</v>
      </c>
      <c r="E187" s="281" t="str">
        <f t="array" ref="E187">IFERROR(INDEX('計測入力シート（ここのみ編集可）'!$C$17:$C$116,MATCH(A185&amp;B185,'計測入力シート（ここのみ編集可）'!$BO$17:$BO$116,0)),"")</f>
        <v/>
      </c>
      <c r="F187" s="282" t="s">
        <v>17</v>
      </c>
      <c r="G187" s="283" t="str">
        <f t="array" ref="G187">IFERROR(INDEX('計測入力シート（ここのみ編集可）'!$D$17:$D$116,MATCH(A185&amp;B185,'計測入力シート（ここのみ編集可）'!$BO$17:$BO$116,0)),"")</f>
        <v/>
      </c>
      <c r="H187" s="284"/>
    </row>
    <row r="188" ht="27.0" customHeight="1">
      <c r="D188" s="285" t="s">
        <v>1</v>
      </c>
      <c r="E188" s="286" t="str">
        <f t="array" ref="E188">IFERROR(INDEX('計測入力シート（ここのみ編集可）'!$B$17:$B$116,MATCH(A185&amp;B185,'計測入力シート（ここのみ編集可）'!$BO$17:$BO$116,0)),"")</f>
        <v/>
      </c>
      <c r="F188" s="287" t="s">
        <v>18</v>
      </c>
      <c r="G188" s="288" t="str">
        <f t="array" ref="G188">IFERROR(INDEX('計測入力シート（ここのみ編集可）'!$E$17:$E$116,MATCH(A185&amp;B185,'計測入力シート（ここのみ編集可）'!$BO$17:$BO$116,0)),"")</f>
        <v/>
      </c>
      <c r="H188" s="289"/>
    </row>
    <row r="189" ht="24.75" customHeight="1">
      <c r="D189" s="290" t="s">
        <v>92</v>
      </c>
      <c r="E189" s="291" t="str">
        <f t="array" ref="E189">IFERROR(INDEX(#REF!,MATCH(A185&amp;B185,'計測入力シート（ここのみ編集可）'!$BO$17:$BO$116,0)),"")</f>
        <v/>
      </c>
      <c r="H189" s="232"/>
    </row>
    <row r="190" ht="52.5" customHeight="1">
      <c r="D190" s="292" t="s">
        <v>100</v>
      </c>
      <c r="E190" s="293" t="str">
        <f t="array" ref="E190">IFERROR(INDEX(#REF!,MATCH(A185&amp;B185,'計測入力シート（ここのみ編集可）'!$BO$17:$BO$116,0)),"")</f>
        <v/>
      </c>
      <c r="F190" s="95"/>
      <c r="G190" s="95"/>
      <c r="H190" s="96"/>
    </row>
    <row r="191" ht="20.25" customHeight="1">
      <c r="D191" s="294" t="s">
        <v>39</v>
      </c>
      <c r="E191" s="295" t="str">
        <f t="array" ref="E191">IFERROR(INDEX('計測入力シート（ここのみ編集可）'!$AW$17:$AW$116,MATCH(A185&amp;B185,'計測入力シート（ここのみ編集可）'!$BO$17:$BO$116,0)),"")</f>
        <v/>
      </c>
      <c r="F191" s="296"/>
      <c r="G191" s="297" t="s">
        <v>110</v>
      </c>
      <c r="H191" s="298" t="str">
        <f t="array" ref="H191">IFERROR(INDEX('計測入力シート（ここのみ編集可）'!$AY$17:$AY$116,MATCH(A185&amp;B185,'計測入力シート（ここのみ編集可）'!$BO$17:$BO$116,0)),"")</f>
        <v/>
      </c>
    </row>
    <row r="192" ht="20.25" customHeight="1">
      <c r="D192" s="299" t="s">
        <v>42</v>
      </c>
      <c r="E192" s="300" t="str">
        <f t="array" ref="E192">IFERROR(INDEX('計測入力シート（ここのみ編集可）'!$AZ$17:$AZ$116,MATCH(A185&amp;B185,'計測入力シート（ここのみ編集可）'!$BO$17:$BO$116,0)),"")</f>
        <v/>
      </c>
      <c r="F192" s="116"/>
      <c r="G192" s="301" t="s">
        <v>111</v>
      </c>
      <c r="H192" s="302" t="str">
        <f t="array" ref="H192">IFERROR(INDEX('計測入力シート（ここのみ編集可）'!$BB$17:$BB$116,MATCH(A185&amp;B185,'計測入力シート（ここのみ編集可）'!$BO$17:$BO$116,0)),"")</f>
        <v/>
      </c>
    </row>
    <row r="193" ht="20.25" customHeight="1">
      <c r="D193" s="303" t="s">
        <v>112</v>
      </c>
      <c r="E193" s="304" t="str">
        <f t="array" ref="E193">IFERROR(INDEX('計測入力シート（ここのみ編集可）'!$BC$17:$BC$116,MATCH(A185&amp;B185,'計測入力シート（ここのみ編集可）'!$BO$17:$BO$116,0)),"")</f>
        <v/>
      </c>
      <c r="F193" s="305"/>
      <c r="G193" s="306" t="s">
        <v>25</v>
      </c>
      <c r="H193" s="307" t="str">
        <f t="array" ref="H193">IFERROR(INDEX('計測入力シート（ここのみ編集可）'!$BD$17:$BD$116,MATCH(A185&amp;B185,'計測入力シート（ここのみ編集可）'!$BO$17:$BO$116,0)),"")</f>
        <v/>
      </c>
    </row>
    <row r="194" ht="20.25" customHeight="1">
      <c r="D194" s="308"/>
    </row>
    <row r="195" ht="27.0" customHeight="1">
      <c r="A195" s="52" t="str">
        <f>A185</f>
        <v>N</v>
      </c>
      <c r="B195" s="52">
        <f>B185+1</f>
        <v>20</v>
      </c>
      <c r="D195" s="271" t="s">
        <v>80</v>
      </c>
      <c r="E195" s="272" t="s">
        <v>81</v>
      </c>
      <c r="F195" s="272" t="s">
        <v>82</v>
      </c>
      <c r="G195" s="273" t="s">
        <v>49</v>
      </c>
      <c r="H195" s="274"/>
    </row>
    <row r="196" ht="27.0" customHeight="1">
      <c r="A196" s="86"/>
      <c r="B196" s="86"/>
      <c r="D196" s="275" t="str">
        <f t="array" ref="D196">IFERROR(INDEX('計測入力シート（ここのみ編集可）'!$BN$17:$BN$116,MATCH(A195&amp;B195,'計測入力シート（ここのみ編集可）'!$BO$17:$BO$116,0)),"")</f>
        <v/>
      </c>
      <c r="E196" s="276" t="str">
        <f t="array" ref="E196">IFERROR(INDEX('計測入力シート（ここのみ編集可）'!$BP$17:$BP$116,MATCH(A195&amp;B195,'計測入力シート（ここのみ編集可）'!$BO$17:$BO$116,0)),"")</f>
        <v/>
      </c>
      <c r="F196" s="277" t="str">
        <f t="array" ref="F196">IFERROR(INDEX('計測入力シート（ここのみ編集可）'!$BR$17:$BR$116,MATCH(A195&amp;B195,'計測入力シート（ここのみ編集可）'!$BO$17:$BO$116,0)),"")</f>
        <v/>
      </c>
      <c r="G196" s="278" t="str">
        <f t="array" ref="G196">IFERROR(INDEX('計測入力シート（ここのみ編集可）'!$BL$17:$BL$116,MATCH(A195&amp;B195,'計測入力シート（ここのみ編集可）'!$BO$17:$BO$116,0)),"")</f>
        <v/>
      </c>
      <c r="H196" s="279"/>
    </row>
    <row r="197" ht="27.0" customHeight="1">
      <c r="D197" s="280" t="s">
        <v>2</v>
      </c>
      <c r="E197" s="281" t="str">
        <f t="array" ref="E197">IFERROR(INDEX('計測入力シート（ここのみ編集可）'!$C$17:$C$116,MATCH(A195&amp;B195,'計測入力シート（ここのみ編集可）'!$BO$17:$BO$116,0)),"")</f>
        <v/>
      </c>
      <c r="F197" s="282" t="s">
        <v>17</v>
      </c>
      <c r="G197" s="283" t="str">
        <f t="array" ref="G197">IFERROR(INDEX('計測入力シート（ここのみ編集可）'!$D$17:$D$116,MATCH(A195&amp;B195,'計測入力シート（ここのみ編集可）'!$BO$17:$BO$116,0)),"")</f>
        <v/>
      </c>
      <c r="H197" s="284"/>
    </row>
    <row r="198" ht="27.0" customHeight="1">
      <c r="D198" s="285" t="s">
        <v>1</v>
      </c>
      <c r="E198" s="286" t="str">
        <f t="array" ref="E198">IFERROR(INDEX('計測入力シート（ここのみ編集可）'!$B$17:$B$116,MATCH(A195&amp;B195,'計測入力シート（ここのみ編集可）'!$BO$17:$BO$116,0)),"")</f>
        <v/>
      </c>
      <c r="F198" s="287" t="s">
        <v>18</v>
      </c>
      <c r="G198" s="288" t="str">
        <f t="array" ref="G198">IFERROR(INDEX('計測入力シート（ここのみ編集可）'!$E$17:$E$116,MATCH(A195&amp;B195,'計測入力シート（ここのみ編集可）'!$BO$17:$BO$116,0)),"")</f>
        <v/>
      </c>
      <c r="H198" s="289"/>
    </row>
    <row r="199" ht="24.75" customHeight="1">
      <c r="D199" s="290" t="s">
        <v>92</v>
      </c>
      <c r="E199" s="291" t="str">
        <f t="array" ref="E199">IFERROR(INDEX(#REF!,MATCH(A195&amp;B195,'計測入力シート（ここのみ編集可）'!$BO$17:$BO$116,0)),"")</f>
        <v/>
      </c>
      <c r="H199" s="232"/>
    </row>
    <row r="200" ht="52.5" customHeight="1">
      <c r="D200" s="292" t="s">
        <v>100</v>
      </c>
      <c r="E200" s="293" t="str">
        <f t="array" ref="E200">IFERROR(INDEX(#REF!,MATCH(A195&amp;B195,'計測入力シート（ここのみ編集可）'!$BO$17:$BO$116,0)),"")</f>
        <v/>
      </c>
      <c r="F200" s="95"/>
      <c r="G200" s="95"/>
      <c r="H200" s="96"/>
    </row>
    <row r="201" ht="20.25" customHeight="1">
      <c r="D201" s="294" t="s">
        <v>39</v>
      </c>
      <c r="E201" s="295" t="str">
        <f t="array" ref="E201">IFERROR(INDEX('計測入力シート（ここのみ編集可）'!$AW$17:$AW$116,MATCH(A195&amp;B195,'計測入力シート（ここのみ編集可）'!$BO$17:$BO$116,0)),"")</f>
        <v/>
      </c>
      <c r="F201" s="296"/>
      <c r="G201" s="297" t="s">
        <v>110</v>
      </c>
      <c r="H201" s="298" t="str">
        <f t="array" ref="H201">IFERROR(INDEX('計測入力シート（ここのみ編集可）'!$AY$17:$AY$116,MATCH(A195&amp;B195,'計測入力シート（ここのみ編集可）'!$BO$17:$BO$116,0)),"")</f>
        <v/>
      </c>
    </row>
    <row r="202" ht="20.25" customHeight="1">
      <c r="D202" s="299" t="s">
        <v>42</v>
      </c>
      <c r="E202" s="300" t="str">
        <f t="array" ref="E202">IFERROR(INDEX('計測入力シート（ここのみ編集可）'!$AZ$17:$AZ$116,MATCH(A195&amp;B195,'計測入力シート（ここのみ編集可）'!$BO$17:$BO$116,0)),"")</f>
        <v/>
      </c>
      <c r="F202" s="116"/>
      <c r="G202" s="301" t="s">
        <v>111</v>
      </c>
      <c r="H202" s="302" t="str">
        <f t="array" ref="H202">IFERROR(INDEX('計測入力シート（ここのみ編集可）'!$BB$17:$BB$116,MATCH(A195&amp;B195,'計測入力シート（ここのみ編集可）'!$BO$17:$BO$116,0)),"")</f>
        <v/>
      </c>
    </row>
    <row r="203" ht="20.25" customHeight="1">
      <c r="D203" s="303" t="s">
        <v>112</v>
      </c>
      <c r="E203" s="304" t="str">
        <f t="array" ref="E203">IFERROR(INDEX('計測入力シート（ここのみ編集可）'!$BC$17:$BC$116,MATCH(A195&amp;B195,'計測入力シート（ここのみ編集可）'!$BO$17:$BO$116,0)),"")</f>
        <v/>
      </c>
      <c r="F203" s="305"/>
      <c r="G203" s="306" t="s">
        <v>25</v>
      </c>
      <c r="H203" s="307" t="str">
        <f t="array" ref="H203">IFERROR(INDEX('計測入力シート（ここのみ編集可）'!$BD$17:$BD$116,MATCH(A195&amp;B195,'計測入力シート（ここのみ編集可）'!$BO$17:$BO$116,0)),"")</f>
        <v/>
      </c>
    </row>
    <row r="204" ht="20.25" customHeight="1">
      <c r="D204" s="308"/>
    </row>
    <row r="205" ht="27.0" customHeight="1">
      <c r="A205" s="52" t="str">
        <f>A195</f>
        <v>N</v>
      </c>
      <c r="B205" s="52">
        <f>B195+1</f>
        <v>21</v>
      </c>
      <c r="D205" s="271" t="s">
        <v>80</v>
      </c>
      <c r="E205" s="272" t="s">
        <v>81</v>
      </c>
      <c r="F205" s="272" t="s">
        <v>82</v>
      </c>
      <c r="G205" s="273" t="s">
        <v>49</v>
      </c>
      <c r="H205" s="274"/>
    </row>
    <row r="206" ht="27.0" customHeight="1">
      <c r="A206" s="86"/>
      <c r="B206" s="86"/>
      <c r="D206" s="275" t="str">
        <f t="array" ref="D206">IFERROR(INDEX('計測入力シート（ここのみ編集可）'!$BN$17:$BN$116,MATCH(A205&amp;B205,'計測入力シート（ここのみ編集可）'!$BO$17:$BO$116,0)),"")</f>
        <v/>
      </c>
      <c r="E206" s="276" t="str">
        <f t="array" ref="E206">IFERROR(INDEX('計測入力シート（ここのみ編集可）'!$BP$17:$BP$116,MATCH(A205&amp;B205,'計測入力シート（ここのみ編集可）'!$BO$17:$BO$116,0)),"")</f>
        <v/>
      </c>
      <c r="F206" s="277" t="str">
        <f t="array" ref="F206">IFERROR(INDEX('計測入力シート（ここのみ編集可）'!$BR$17:$BR$116,MATCH(A205&amp;B205,'計測入力シート（ここのみ編集可）'!$BO$17:$BO$116,0)),"")</f>
        <v/>
      </c>
      <c r="G206" s="278" t="str">
        <f t="array" ref="G206">IFERROR(INDEX('計測入力シート（ここのみ編集可）'!$BL$17:$BL$116,MATCH(A205&amp;B205,'計測入力シート（ここのみ編集可）'!$BO$17:$BO$116,0)),"")</f>
        <v/>
      </c>
      <c r="H206" s="279"/>
    </row>
    <row r="207" ht="27.0" customHeight="1">
      <c r="D207" s="280" t="s">
        <v>2</v>
      </c>
      <c r="E207" s="281" t="str">
        <f t="array" ref="E207">IFERROR(INDEX('計測入力シート（ここのみ編集可）'!$C$17:$C$116,MATCH(A205&amp;B205,'計測入力シート（ここのみ編集可）'!$BO$17:$BO$116,0)),"")</f>
        <v/>
      </c>
      <c r="F207" s="282" t="s">
        <v>17</v>
      </c>
      <c r="G207" s="283" t="str">
        <f t="array" ref="G207">IFERROR(INDEX('計測入力シート（ここのみ編集可）'!$D$17:$D$116,MATCH(A205&amp;B205,'計測入力シート（ここのみ編集可）'!$BO$17:$BO$116,0)),"")</f>
        <v/>
      </c>
      <c r="H207" s="284"/>
    </row>
    <row r="208" ht="27.0" customHeight="1">
      <c r="D208" s="285" t="s">
        <v>1</v>
      </c>
      <c r="E208" s="286" t="str">
        <f t="array" ref="E208">IFERROR(INDEX('計測入力シート（ここのみ編集可）'!$B$17:$B$116,MATCH(A205&amp;B205,'計測入力シート（ここのみ編集可）'!$BO$17:$BO$116,0)),"")</f>
        <v/>
      </c>
      <c r="F208" s="287" t="s">
        <v>18</v>
      </c>
      <c r="G208" s="288" t="str">
        <f t="array" ref="G208">IFERROR(INDEX('計測入力シート（ここのみ編集可）'!$E$17:$E$116,MATCH(A205&amp;B205,'計測入力シート（ここのみ編集可）'!$BO$17:$BO$116,0)),"")</f>
        <v/>
      </c>
      <c r="H208" s="289"/>
    </row>
    <row r="209" ht="24.75" customHeight="1">
      <c r="D209" s="290" t="s">
        <v>92</v>
      </c>
      <c r="E209" s="291" t="str">
        <f t="array" ref="E209">IFERROR(INDEX(#REF!,MATCH(A205&amp;B205,'計測入力シート（ここのみ編集可）'!$BO$17:$BO$116,0)),"")</f>
        <v/>
      </c>
      <c r="H209" s="232"/>
    </row>
    <row r="210" ht="52.5" customHeight="1">
      <c r="D210" s="292" t="s">
        <v>100</v>
      </c>
      <c r="E210" s="293" t="str">
        <f t="array" ref="E210">IFERROR(INDEX(#REF!,MATCH(A205&amp;B205,'計測入力シート（ここのみ編集可）'!$BO$17:$BO$116,0)),"")</f>
        <v/>
      </c>
      <c r="F210" s="95"/>
      <c r="G210" s="95"/>
      <c r="H210" s="96"/>
    </row>
    <row r="211" ht="20.25" customHeight="1">
      <c r="D211" s="294" t="s">
        <v>39</v>
      </c>
      <c r="E211" s="295" t="str">
        <f t="array" ref="E211">IFERROR(INDEX('計測入力シート（ここのみ編集可）'!$AW$17:$AW$116,MATCH(A205&amp;B205,'計測入力シート（ここのみ編集可）'!$BO$17:$BO$116,0)),"")</f>
        <v/>
      </c>
      <c r="F211" s="296"/>
      <c r="G211" s="297" t="s">
        <v>110</v>
      </c>
      <c r="H211" s="298" t="str">
        <f t="array" ref="H211">IFERROR(INDEX('計測入力シート（ここのみ編集可）'!$AY$17:$AY$116,MATCH(A205&amp;B205,'計測入力シート（ここのみ編集可）'!$BO$17:$BO$116,0)),"")</f>
        <v/>
      </c>
    </row>
    <row r="212" ht="20.25" customHeight="1">
      <c r="D212" s="299" t="s">
        <v>42</v>
      </c>
      <c r="E212" s="300" t="str">
        <f t="array" ref="E212">IFERROR(INDEX('計測入力シート（ここのみ編集可）'!$AZ$17:$AZ$116,MATCH(A205&amp;B205,'計測入力シート（ここのみ編集可）'!$BO$17:$BO$116,0)),"")</f>
        <v/>
      </c>
      <c r="F212" s="116"/>
      <c r="G212" s="301" t="s">
        <v>111</v>
      </c>
      <c r="H212" s="302" t="str">
        <f t="array" ref="H212">IFERROR(INDEX('計測入力シート（ここのみ編集可）'!$BB$17:$BB$116,MATCH(A205&amp;B205,'計測入力シート（ここのみ編集可）'!$BO$17:$BO$116,0)),"")</f>
        <v/>
      </c>
    </row>
    <row r="213" ht="20.25" customHeight="1">
      <c r="D213" s="303" t="s">
        <v>112</v>
      </c>
      <c r="E213" s="304" t="str">
        <f t="array" ref="E213">IFERROR(INDEX('計測入力シート（ここのみ編集可）'!$BC$17:$BC$116,MATCH(A205&amp;B205,'計測入力シート（ここのみ編集可）'!$BO$17:$BO$116,0)),"")</f>
        <v/>
      </c>
      <c r="F213" s="305"/>
      <c r="G213" s="306" t="s">
        <v>25</v>
      </c>
      <c r="H213" s="307" t="str">
        <f t="array" ref="H213">IFERROR(INDEX('計測入力シート（ここのみ編集可）'!$BD$17:$BD$116,MATCH(A205&amp;B205,'計測入力シート（ここのみ編集可）'!$BO$17:$BO$116,0)),"")</f>
        <v/>
      </c>
    </row>
    <row r="214" ht="20.25" customHeight="1">
      <c r="D214" s="308"/>
    </row>
    <row r="215" ht="27.0" customHeight="1">
      <c r="A215" s="52" t="str">
        <f>A205</f>
        <v>N</v>
      </c>
      <c r="B215" s="52">
        <f>B205+1</f>
        <v>22</v>
      </c>
      <c r="D215" s="271" t="s">
        <v>80</v>
      </c>
      <c r="E215" s="272" t="s">
        <v>81</v>
      </c>
      <c r="F215" s="272" t="s">
        <v>82</v>
      </c>
      <c r="G215" s="273" t="s">
        <v>49</v>
      </c>
      <c r="H215" s="274"/>
    </row>
    <row r="216" ht="27.0" customHeight="1">
      <c r="A216" s="86"/>
      <c r="B216" s="86"/>
      <c r="D216" s="275" t="str">
        <f t="array" ref="D216">IFERROR(INDEX('計測入力シート（ここのみ編集可）'!$BN$17:$BN$116,MATCH(A215&amp;B215,'計測入力シート（ここのみ編集可）'!$BO$17:$BO$116,0)),"")</f>
        <v/>
      </c>
      <c r="E216" s="276" t="str">
        <f t="array" ref="E216">IFERROR(INDEX('計測入力シート（ここのみ編集可）'!$BP$17:$BP$116,MATCH(A215&amp;B215,'計測入力シート（ここのみ編集可）'!$BO$17:$BO$116,0)),"")</f>
        <v/>
      </c>
      <c r="F216" s="277" t="str">
        <f t="array" ref="F216">IFERROR(INDEX('計測入力シート（ここのみ編集可）'!$BR$17:$BR$116,MATCH(A215&amp;B215,'計測入力シート（ここのみ編集可）'!$BO$17:$BO$116,0)),"")</f>
        <v/>
      </c>
      <c r="G216" s="278" t="str">
        <f t="array" ref="G216">IFERROR(INDEX('計測入力シート（ここのみ編集可）'!$BL$17:$BL$116,MATCH(A215&amp;B215,'計測入力シート（ここのみ編集可）'!$BO$17:$BO$116,0)),"")</f>
        <v/>
      </c>
      <c r="H216" s="279"/>
    </row>
    <row r="217" ht="27.0" customHeight="1">
      <c r="D217" s="280" t="s">
        <v>2</v>
      </c>
      <c r="E217" s="281" t="str">
        <f t="array" ref="E217">IFERROR(INDEX('計測入力シート（ここのみ編集可）'!$C$17:$C$116,MATCH(A215&amp;B215,'計測入力シート（ここのみ編集可）'!$BO$17:$BO$116,0)),"")</f>
        <v/>
      </c>
      <c r="F217" s="282" t="s">
        <v>17</v>
      </c>
      <c r="G217" s="283" t="str">
        <f t="array" ref="G217">IFERROR(INDEX('計測入力シート（ここのみ編集可）'!$D$17:$D$116,MATCH(A215&amp;B215,'計測入力シート（ここのみ編集可）'!$BO$17:$BO$116,0)),"")</f>
        <v/>
      </c>
      <c r="H217" s="284"/>
    </row>
    <row r="218" ht="27.0" customHeight="1">
      <c r="D218" s="285" t="s">
        <v>1</v>
      </c>
      <c r="E218" s="286" t="str">
        <f t="array" ref="E218">IFERROR(INDEX('計測入力シート（ここのみ編集可）'!$B$17:$B$116,MATCH(A215&amp;B215,'計測入力シート（ここのみ編集可）'!$BO$17:$BO$116,0)),"")</f>
        <v/>
      </c>
      <c r="F218" s="287" t="s">
        <v>18</v>
      </c>
      <c r="G218" s="288" t="str">
        <f t="array" ref="G218">IFERROR(INDEX('計測入力シート（ここのみ編集可）'!$E$17:$E$116,MATCH(A215&amp;B215,'計測入力シート（ここのみ編集可）'!$BO$17:$BO$116,0)),"")</f>
        <v/>
      </c>
      <c r="H218" s="289"/>
    </row>
    <row r="219" ht="24.75" customHeight="1">
      <c r="D219" s="290" t="s">
        <v>92</v>
      </c>
      <c r="E219" s="291" t="str">
        <f t="array" ref="E219">IFERROR(INDEX(#REF!,MATCH(A215&amp;B215,'計測入力シート（ここのみ編集可）'!$BO$17:$BO$116,0)),"")</f>
        <v/>
      </c>
      <c r="H219" s="232"/>
    </row>
    <row r="220" ht="52.5" customHeight="1">
      <c r="D220" s="292" t="s">
        <v>100</v>
      </c>
      <c r="E220" s="293" t="str">
        <f t="array" ref="E220">IFERROR(INDEX(#REF!,MATCH(A215&amp;B215,'計測入力シート（ここのみ編集可）'!$BO$17:$BO$116,0)),"")</f>
        <v/>
      </c>
      <c r="F220" s="95"/>
      <c r="G220" s="95"/>
      <c r="H220" s="96"/>
    </row>
    <row r="221" ht="20.25" customHeight="1">
      <c r="D221" s="294" t="s">
        <v>39</v>
      </c>
      <c r="E221" s="295" t="str">
        <f t="array" ref="E221">IFERROR(INDEX('計測入力シート（ここのみ編集可）'!$AW$17:$AW$116,MATCH(A215&amp;B215,'計測入力シート（ここのみ編集可）'!$BO$17:$BO$116,0)),"")</f>
        <v/>
      </c>
      <c r="F221" s="296"/>
      <c r="G221" s="297" t="s">
        <v>110</v>
      </c>
      <c r="H221" s="298" t="str">
        <f t="array" ref="H221">IFERROR(INDEX('計測入力シート（ここのみ編集可）'!$AY$17:$AY$116,MATCH(A215&amp;B215,'計測入力シート（ここのみ編集可）'!$BO$17:$BO$116,0)),"")</f>
        <v/>
      </c>
    </row>
    <row r="222" ht="20.25" customHeight="1">
      <c r="D222" s="299" t="s">
        <v>42</v>
      </c>
      <c r="E222" s="300" t="str">
        <f t="array" ref="E222">IFERROR(INDEX('計測入力シート（ここのみ編集可）'!$AZ$17:$AZ$116,MATCH(A215&amp;B215,'計測入力シート（ここのみ編集可）'!$BO$17:$BO$116,0)),"")</f>
        <v/>
      </c>
      <c r="F222" s="116"/>
      <c r="G222" s="301" t="s">
        <v>111</v>
      </c>
      <c r="H222" s="302" t="str">
        <f t="array" ref="H222">IFERROR(INDEX('計測入力シート（ここのみ編集可）'!$BB$17:$BB$116,MATCH(A215&amp;B215,'計測入力シート（ここのみ編集可）'!$BO$17:$BO$116,0)),"")</f>
        <v/>
      </c>
    </row>
    <row r="223" ht="20.25" customHeight="1">
      <c r="D223" s="303" t="s">
        <v>112</v>
      </c>
      <c r="E223" s="304" t="str">
        <f t="array" ref="E223">IFERROR(INDEX('計測入力シート（ここのみ編集可）'!$BC$17:$BC$116,MATCH(A215&amp;B215,'計測入力シート（ここのみ編集可）'!$BO$17:$BO$116,0)),"")</f>
        <v/>
      </c>
      <c r="F223" s="305"/>
      <c r="G223" s="306" t="s">
        <v>25</v>
      </c>
      <c r="H223" s="307" t="str">
        <f t="array" ref="H223">IFERROR(INDEX('計測入力シート（ここのみ編集可）'!$BD$17:$BD$116,MATCH(A215&amp;B215,'計測入力シート（ここのみ編集可）'!$BO$17:$BO$116,0)),"")</f>
        <v/>
      </c>
    </row>
    <row r="224" ht="20.25" customHeight="1">
      <c r="D224" s="308"/>
    </row>
    <row r="225" ht="27.0" customHeight="1">
      <c r="A225" s="52" t="str">
        <f>A215</f>
        <v>N</v>
      </c>
      <c r="B225" s="52">
        <f>B215+1</f>
        <v>23</v>
      </c>
      <c r="D225" s="271" t="s">
        <v>80</v>
      </c>
      <c r="E225" s="272" t="s">
        <v>81</v>
      </c>
      <c r="F225" s="272" t="s">
        <v>82</v>
      </c>
      <c r="G225" s="273" t="s">
        <v>49</v>
      </c>
      <c r="H225" s="274"/>
    </row>
    <row r="226" ht="27.0" customHeight="1">
      <c r="A226" s="86"/>
      <c r="B226" s="86"/>
      <c r="D226" s="275" t="str">
        <f t="array" ref="D226">IFERROR(INDEX('計測入力シート（ここのみ編集可）'!$BN$17:$BN$116,MATCH(A225&amp;B225,'計測入力シート（ここのみ編集可）'!$BO$17:$BO$116,0)),"")</f>
        <v/>
      </c>
      <c r="E226" s="276" t="str">
        <f t="array" ref="E226">IFERROR(INDEX('計測入力シート（ここのみ編集可）'!$BP$17:$BP$116,MATCH(A225&amp;B225,'計測入力シート（ここのみ編集可）'!$BO$17:$BO$116,0)),"")</f>
        <v/>
      </c>
      <c r="F226" s="277" t="str">
        <f t="array" ref="F226">IFERROR(INDEX('計測入力シート（ここのみ編集可）'!$BR$17:$BR$116,MATCH(A225&amp;B225,'計測入力シート（ここのみ編集可）'!$BO$17:$BO$116,0)),"")</f>
        <v/>
      </c>
      <c r="G226" s="278" t="str">
        <f t="array" ref="G226">IFERROR(INDEX('計測入力シート（ここのみ編集可）'!$BL$17:$BL$116,MATCH(A225&amp;B225,'計測入力シート（ここのみ編集可）'!$BO$17:$BO$116,0)),"")</f>
        <v/>
      </c>
      <c r="H226" s="279"/>
    </row>
    <row r="227" ht="27.0" customHeight="1">
      <c r="D227" s="280" t="s">
        <v>2</v>
      </c>
      <c r="E227" s="281" t="str">
        <f t="array" ref="E227">IFERROR(INDEX('計測入力シート（ここのみ編集可）'!$C$17:$C$116,MATCH(A225&amp;B225,'計測入力シート（ここのみ編集可）'!$BO$17:$BO$116,0)),"")</f>
        <v/>
      </c>
      <c r="F227" s="282" t="s">
        <v>17</v>
      </c>
      <c r="G227" s="283" t="str">
        <f t="array" ref="G227">IFERROR(INDEX('計測入力シート（ここのみ編集可）'!$D$17:$D$116,MATCH(A225&amp;B225,'計測入力シート（ここのみ編集可）'!$BO$17:$BO$116,0)),"")</f>
        <v/>
      </c>
      <c r="H227" s="284"/>
    </row>
    <row r="228" ht="27.0" customHeight="1">
      <c r="D228" s="285" t="s">
        <v>1</v>
      </c>
      <c r="E228" s="286" t="str">
        <f t="array" ref="E228">IFERROR(INDEX('計測入力シート（ここのみ編集可）'!$B$17:$B$116,MATCH(A225&amp;B225,'計測入力シート（ここのみ編集可）'!$BO$17:$BO$116,0)),"")</f>
        <v/>
      </c>
      <c r="F228" s="287" t="s">
        <v>18</v>
      </c>
      <c r="G228" s="288" t="str">
        <f t="array" ref="G228">IFERROR(INDEX('計測入力シート（ここのみ編集可）'!$E$17:$E$116,MATCH(A225&amp;B225,'計測入力シート（ここのみ編集可）'!$BO$17:$BO$116,0)),"")</f>
        <v/>
      </c>
      <c r="H228" s="289"/>
    </row>
    <row r="229" ht="24.75" customHeight="1">
      <c r="D229" s="290" t="s">
        <v>92</v>
      </c>
      <c r="E229" s="291" t="str">
        <f t="array" ref="E229">IFERROR(INDEX(#REF!,MATCH(A225&amp;B225,'計測入力シート（ここのみ編集可）'!$BO$17:$BO$116,0)),"")</f>
        <v/>
      </c>
      <c r="H229" s="232"/>
    </row>
    <row r="230" ht="52.5" customHeight="1">
      <c r="D230" s="292" t="s">
        <v>100</v>
      </c>
      <c r="E230" s="293" t="str">
        <f t="array" ref="E230">IFERROR(INDEX(#REF!,MATCH(A225&amp;B225,'計測入力シート（ここのみ編集可）'!$BO$17:$BO$116,0)),"")</f>
        <v/>
      </c>
      <c r="F230" s="95"/>
      <c r="G230" s="95"/>
      <c r="H230" s="96"/>
    </row>
    <row r="231" ht="20.25" customHeight="1">
      <c r="D231" s="294" t="s">
        <v>39</v>
      </c>
      <c r="E231" s="295" t="str">
        <f t="array" ref="E231">IFERROR(INDEX('計測入力シート（ここのみ編集可）'!$AW$17:$AW$116,MATCH(A225&amp;B225,'計測入力シート（ここのみ編集可）'!$BO$17:$BO$116,0)),"")</f>
        <v/>
      </c>
      <c r="F231" s="296"/>
      <c r="G231" s="297" t="s">
        <v>110</v>
      </c>
      <c r="H231" s="298" t="str">
        <f t="array" ref="H231">IFERROR(INDEX('計測入力シート（ここのみ編集可）'!$AY$17:$AY$116,MATCH(A225&amp;B225,'計測入力シート（ここのみ編集可）'!$BO$17:$BO$116,0)),"")</f>
        <v/>
      </c>
    </row>
    <row r="232" ht="20.25" customHeight="1">
      <c r="D232" s="299" t="s">
        <v>42</v>
      </c>
      <c r="E232" s="300" t="str">
        <f t="array" ref="E232">IFERROR(INDEX('計測入力シート（ここのみ編集可）'!$AZ$17:$AZ$116,MATCH(A225&amp;B225,'計測入力シート（ここのみ編集可）'!$BO$17:$BO$116,0)),"")</f>
        <v/>
      </c>
      <c r="F232" s="116"/>
      <c r="G232" s="301" t="s">
        <v>111</v>
      </c>
      <c r="H232" s="302" t="str">
        <f t="array" ref="H232">IFERROR(INDEX('計測入力シート（ここのみ編集可）'!$BB$17:$BB$116,MATCH(A225&amp;B225,'計測入力シート（ここのみ編集可）'!$BO$17:$BO$116,0)),"")</f>
        <v/>
      </c>
    </row>
    <row r="233" ht="20.25" customHeight="1">
      <c r="D233" s="303" t="s">
        <v>112</v>
      </c>
      <c r="E233" s="304" t="str">
        <f t="array" ref="E233">IFERROR(INDEX('計測入力シート（ここのみ編集可）'!$BC$17:$BC$116,MATCH(A225&amp;B225,'計測入力シート（ここのみ編集可）'!$BO$17:$BO$116,0)),"")</f>
        <v/>
      </c>
      <c r="F233" s="305"/>
      <c r="G233" s="306" t="s">
        <v>25</v>
      </c>
      <c r="H233" s="307" t="str">
        <f t="array" ref="H233">IFERROR(INDEX('計測入力シート（ここのみ編集可）'!$BD$17:$BD$116,MATCH(A225&amp;B225,'計測入力シート（ここのみ編集可）'!$BO$17:$BO$116,0)),"")</f>
        <v/>
      </c>
    </row>
    <row r="234" ht="20.25" customHeight="1">
      <c r="D234" s="308"/>
    </row>
    <row r="235" ht="27.0" customHeight="1">
      <c r="A235" s="52" t="str">
        <f>A225</f>
        <v>N</v>
      </c>
      <c r="B235" s="52">
        <f>B225+1</f>
        <v>24</v>
      </c>
      <c r="D235" s="271" t="s">
        <v>80</v>
      </c>
      <c r="E235" s="272" t="s">
        <v>81</v>
      </c>
      <c r="F235" s="272" t="s">
        <v>82</v>
      </c>
      <c r="G235" s="273" t="s">
        <v>49</v>
      </c>
      <c r="H235" s="274"/>
    </row>
    <row r="236" ht="27.0" customHeight="1">
      <c r="A236" s="86"/>
      <c r="B236" s="86"/>
      <c r="D236" s="275" t="str">
        <f t="array" ref="D236">IFERROR(INDEX('計測入力シート（ここのみ編集可）'!$BN$17:$BN$116,MATCH(A235&amp;B235,'計測入力シート（ここのみ編集可）'!$BO$17:$BO$116,0)),"")</f>
        <v/>
      </c>
      <c r="E236" s="276" t="str">
        <f t="array" ref="E236">IFERROR(INDEX('計測入力シート（ここのみ編集可）'!$BP$17:$BP$116,MATCH(A235&amp;B235,'計測入力シート（ここのみ編集可）'!$BO$17:$BO$116,0)),"")</f>
        <v/>
      </c>
      <c r="F236" s="277" t="str">
        <f t="array" ref="F236">IFERROR(INDEX('計測入力シート（ここのみ編集可）'!$BR$17:$BR$116,MATCH(A235&amp;B235,'計測入力シート（ここのみ編集可）'!$BO$17:$BO$116,0)),"")</f>
        <v/>
      </c>
      <c r="G236" s="278" t="str">
        <f t="array" ref="G236">IFERROR(INDEX('計測入力シート（ここのみ編集可）'!$BL$17:$BL$116,MATCH(A235&amp;B235,'計測入力シート（ここのみ編集可）'!$BO$17:$BO$116,0)),"")</f>
        <v/>
      </c>
      <c r="H236" s="279"/>
    </row>
    <row r="237" ht="27.0" customHeight="1">
      <c r="D237" s="280" t="s">
        <v>2</v>
      </c>
      <c r="E237" s="281" t="str">
        <f t="array" ref="E237">IFERROR(INDEX('計測入力シート（ここのみ編集可）'!$C$17:$C$116,MATCH(A235&amp;B235,'計測入力シート（ここのみ編集可）'!$BO$17:$BO$116,0)),"")</f>
        <v/>
      </c>
      <c r="F237" s="282" t="s">
        <v>17</v>
      </c>
      <c r="G237" s="283" t="str">
        <f t="array" ref="G237">IFERROR(INDEX('計測入力シート（ここのみ編集可）'!$D$17:$D$116,MATCH(A235&amp;B235,'計測入力シート（ここのみ編集可）'!$BO$17:$BO$116,0)),"")</f>
        <v/>
      </c>
      <c r="H237" s="284"/>
    </row>
    <row r="238" ht="27.0" customHeight="1">
      <c r="D238" s="285" t="s">
        <v>1</v>
      </c>
      <c r="E238" s="286" t="str">
        <f t="array" ref="E238">IFERROR(INDEX('計測入力シート（ここのみ編集可）'!$B$17:$B$116,MATCH(A235&amp;B235,'計測入力シート（ここのみ編集可）'!$BO$17:$BO$116,0)),"")</f>
        <v/>
      </c>
      <c r="F238" s="287" t="s">
        <v>18</v>
      </c>
      <c r="G238" s="288" t="str">
        <f t="array" ref="G238">IFERROR(INDEX('計測入力シート（ここのみ編集可）'!$E$17:$E$116,MATCH(A235&amp;B235,'計測入力シート（ここのみ編集可）'!$BO$17:$BO$116,0)),"")</f>
        <v/>
      </c>
      <c r="H238" s="289"/>
    </row>
    <row r="239" ht="24.75" customHeight="1">
      <c r="D239" s="290" t="s">
        <v>92</v>
      </c>
      <c r="E239" s="291" t="str">
        <f t="array" ref="E239">IFERROR(INDEX(#REF!,MATCH(A235&amp;B235,'計測入力シート（ここのみ編集可）'!$BO$17:$BO$116,0)),"")</f>
        <v/>
      </c>
      <c r="H239" s="232"/>
    </row>
    <row r="240" ht="52.5" customHeight="1">
      <c r="D240" s="292" t="s">
        <v>100</v>
      </c>
      <c r="E240" s="293" t="str">
        <f t="array" ref="E240">IFERROR(INDEX(#REF!,MATCH(A235&amp;B235,'計測入力シート（ここのみ編集可）'!$BO$17:$BO$116,0)),"")</f>
        <v/>
      </c>
      <c r="F240" s="95"/>
      <c r="G240" s="95"/>
      <c r="H240" s="96"/>
    </row>
    <row r="241" ht="20.25" customHeight="1">
      <c r="D241" s="294" t="s">
        <v>39</v>
      </c>
      <c r="E241" s="295" t="str">
        <f t="array" ref="E241">IFERROR(INDEX('計測入力シート（ここのみ編集可）'!$AW$17:$AW$116,MATCH(A235&amp;B235,'計測入力シート（ここのみ編集可）'!$BO$17:$BO$116,0)),"")</f>
        <v/>
      </c>
      <c r="F241" s="296"/>
      <c r="G241" s="297" t="s">
        <v>110</v>
      </c>
      <c r="H241" s="298" t="str">
        <f t="array" ref="H241">IFERROR(INDEX('計測入力シート（ここのみ編集可）'!$AY$17:$AY$116,MATCH(A235&amp;B235,'計測入力シート（ここのみ編集可）'!$BO$17:$BO$116,0)),"")</f>
        <v/>
      </c>
    </row>
    <row r="242" ht="20.25" customHeight="1">
      <c r="D242" s="299" t="s">
        <v>42</v>
      </c>
      <c r="E242" s="300" t="str">
        <f t="array" ref="E242">IFERROR(INDEX('計測入力シート（ここのみ編集可）'!$AZ$17:$AZ$116,MATCH(A235&amp;B235,'計測入力シート（ここのみ編集可）'!$BO$17:$BO$116,0)),"")</f>
        <v/>
      </c>
      <c r="F242" s="116"/>
      <c r="G242" s="301" t="s">
        <v>111</v>
      </c>
      <c r="H242" s="302" t="str">
        <f t="array" ref="H242">IFERROR(INDEX('計測入力シート（ここのみ編集可）'!$BB$17:$BB$116,MATCH(A235&amp;B235,'計測入力シート（ここのみ編集可）'!$BO$17:$BO$116,0)),"")</f>
        <v/>
      </c>
    </row>
    <row r="243" ht="20.25" customHeight="1">
      <c r="D243" s="303" t="s">
        <v>112</v>
      </c>
      <c r="E243" s="304" t="str">
        <f t="array" ref="E243">IFERROR(INDEX('計測入力シート（ここのみ編集可）'!$BC$17:$BC$116,MATCH(A235&amp;B235,'計測入力シート（ここのみ編集可）'!$BO$17:$BO$116,0)),"")</f>
        <v/>
      </c>
      <c r="F243" s="305"/>
      <c r="G243" s="306" t="s">
        <v>25</v>
      </c>
      <c r="H243" s="307" t="str">
        <f t="array" ref="H243">IFERROR(INDEX('計測入力シート（ここのみ編集可）'!$BD$17:$BD$116,MATCH(A235&amp;B235,'計測入力シート（ここのみ編集可）'!$BO$17:$BO$116,0)),"")</f>
        <v/>
      </c>
    </row>
    <row r="244" ht="20.25" customHeight="1">
      <c r="D244" s="308"/>
    </row>
    <row r="245" ht="27.0" customHeight="1">
      <c r="A245" s="52" t="str">
        <f>A235</f>
        <v>N</v>
      </c>
      <c r="B245" s="52">
        <f>B235+1</f>
        <v>25</v>
      </c>
      <c r="D245" s="271" t="s">
        <v>80</v>
      </c>
      <c r="E245" s="272" t="s">
        <v>81</v>
      </c>
      <c r="F245" s="272" t="s">
        <v>82</v>
      </c>
      <c r="G245" s="273" t="s">
        <v>49</v>
      </c>
      <c r="H245" s="274"/>
    </row>
    <row r="246" ht="27.0" customHeight="1">
      <c r="A246" s="86"/>
      <c r="B246" s="86"/>
      <c r="D246" s="275" t="str">
        <f t="array" ref="D246">IFERROR(INDEX('計測入力シート（ここのみ編集可）'!$BN$17:$BN$116,MATCH(A245&amp;B245,'計測入力シート（ここのみ編集可）'!$BO$17:$BO$116,0)),"")</f>
        <v/>
      </c>
      <c r="E246" s="276" t="str">
        <f t="array" ref="E246">IFERROR(INDEX('計測入力シート（ここのみ編集可）'!$BP$17:$BP$116,MATCH(A245&amp;B245,'計測入力シート（ここのみ編集可）'!$BO$17:$BO$116,0)),"")</f>
        <v/>
      </c>
      <c r="F246" s="277" t="str">
        <f t="array" ref="F246">IFERROR(INDEX('計測入力シート（ここのみ編集可）'!$BR$17:$BR$116,MATCH(A245&amp;B245,'計測入力シート（ここのみ編集可）'!$BO$17:$BO$116,0)),"")</f>
        <v/>
      </c>
      <c r="G246" s="278" t="str">
        <f t="array" ref="G246">IFERROR(INDEX('計測入力シート（ここのみ編集可）'!$BL$17:$BL$116,MATCH(A245&amp;B245,'計測入力シート（ここのみ編集可）'!$BO$17:$BO$116,0)),"")</f>
        <v/>
      </c>
      <c r="H246" s="279"/>
    </row>
    <row r="247" ht="27.0" customHeight="1">
      <c r="D247" s="280" t="s">
        <v>2</v>
      </c>
      <c r="E247" s="281" t="str">
        <f t="array" ref="E247">IFERROR(INDEX('計測入力シート（ここのみ編集可）'!$C$17:$C$116,MATCH(A245&amp;B245,'計測入力シート（ここのみ編集可）'!$BO$17:$BO$116,0)),"")</f>
        <v/>
      </c>
      <c r="F247" s="282" t="s">
        <v>17</v>
      </c>
      <c r="G247" s="283" t="str">
        <f t="array" ref="G247">IFERROR(INDEX('計測入力シート（ここのみ編集可）'!$D$17:$D$116,MATCH(A245&amp;B245,'計測入力シート（ここのみ編集可）'!$BO$17:$BO$116,0)),"")</f>
        <v/>
      </c>
      <c r="H247" s="284"/>
    </row>
    <row r="248" ht="27.0" customHeight="1">
      <c r="D248" s="285" t="s">
        <v>1</v>
      </c>
      <c r="E248" s="286" t="str">
        <f t="array" ref="E248">IFERROR(INDEX('計測入力シート（ここのみ編集可）'!$B$17:$B$116,MATCH(A245&amp;B245,'計測入力シート（ここのみ編集可）'!$BO$17:$BO$116,0)),"")</f>
        <v/>
      </c>
      <c r="F248" s="287" t="s">
        <v>18</v>
      </c>
      <c r="G248" s="288" t="str">
        <f t="array" ref="G248">IFERROR(INDEX('計測入力シート（ここのみ編集可）'!$E$17:$E$116,MATCH(A245&amp;B245,'計測入力シート（ここのみ編集可）'!$BO$17:$BO$116,0)),"")</f>
        <v/>
      </c>
      <c r="H248" s="289"/>
    </row>
    <row r="249" ht="24.75" customHeight="1">
      <c r="D249" s="290" t="s">
        <v>92</v>
      </c>
      <c r="E249" s="291" t="str">
        <f t="array" ref="E249">IFERROR(INDEX(#REF!,MATCH(A245&amp;B245,'計測入力シート（ここのみ編集可）'!$BO$17:$BO$116,0)),"")</f>
        <v/>
      </c>
      <c r="H249" s="232"/>
    </row>
    <row r="250" ht="52.5" customHeight="1">
      <c r="D250" s="292" t="s">
        <v>100</v>
      </c>
      <c r="E250" s="293" t="str">
        <f t="array" ref="E250">IFERROR(INDEX(#REF!,MATCH(A245&amp;B245,'計測入力シート（ここのみ編集可）'!$BO$17:$BO$116,0)),"")</f>
        <v/>
      </c>
      <c r="F250" s="95"/>
      <c r="G250" s="95"/>
      <c r="H250" s="96"/>
    </row>
    <row r="251" ht="20.25" customHeight="1">
      <c r="D251" s="294" t="s">
        <v>39</v>
      </c>
      <c r="E251" s="295" t="str">
        <f t="array" ref="E251">IFERROR(INDEX('計測入力シート（ここのみ編集可）'!$AW$17:$AW$116,MATCH(A245&amp;B245,'計測入力シート（ここのみ編集可）'!$BO$17:$BO$116,0)),"")</f>
        <v/>
      </c>
      <c r="F251" s="296"/>
      <c r="G251" s="297" t="s">
        <v>110</v>
      </c>
      <c r="H251" s="298" t="str">
        <f t="array" ref="H251">IFERROR(INDEX('計測入力シート（ここのみ編集可）'!$AY$17:$AY$116,MATCH(A245&amp;B245,'計測入力シート（ここのみ編集可）'!$BO$17:$BO$116,0)),"")</f>
        <v/>
      </c>
    </row>
    <row r="252" ht="20.25" customHeight="1">
      <c r="D252" s="299" t="s">
        <v>42</v>
      </c>
      <c r="E252" s="300" t="str">
        <f t="array" ref="E252">IFERROR(INDEX('計測入力シート（ここのみ編集可）'!$AZ$17:$AZ$116,MATCH(A245&amp;B245,'計測入力シート（ここのみ編集可）'!$BO$17:$BO$116,0)),"")</f>
        <v/>
      </c>
      <c r="F252" s="116"/>
      <c r="G252" s="301" t="s">
        <v>111</v>
      </c>
      <c r="H252" s="302" t="str">
        <f t="array" ref="H252">IFERROR(INDEX('計測入力シート（ここのみ編集可）'!$BB$17:$BB$116,MATCH(A245&amp;B245,'計測入力シート（ここのみ編集可）'!$BO$17:$BO$116,0)),"")</f>
        <v/>
      </c>
    </row>
    <row r="253" ht="20.25" customHeight="1">
      <c r="D253" s="303" t="s">
        <v>112</v>
      </c>
      <c r="E253" s="304" t="str">
        <f t="array" ref="E253">IFERROR(INDEX('計測入力シート（ここのみ編集可）'!$BC$17:$BC$116,MATCH(A245&amp;B245,'計測入力シート（ここのみ編集可）'!$BO$17:$BO$116,0)),"")</f>
        <v/>
      </c>
      <c r="F253" s="305"/>
      <c r="G253" s="306" t="s">
        <v>25</v>
      </c>
      <c r="H253" s="307" t="str">
        <f t="array" ref="H253">IFERROR(INDEX('計測入力シート（ここのみ編集可）'!$BD$17:$BD$116,MATCH(A245&amp;B245,'計測入力シート（ここのみ編集可）'!$BO$17:$BO$116,0)),"")</f>
        <v/>
      </c>
    </row>
    <row r="254" ht="20.25" customHeight="1">
      <c r="D254" s="308"/>
    </row>
    <row r="255" ht="27.0" customHeight="1">
      <c r="A255" s="52" t="str">
        <f>A245</f>
        <v>N</v>
      </c>
      <c r="B255" s="52">
        <f>B245+1</f>
        <v>26</v>
      </c>
      <c r="D255" s="271" t="s">
        <v>80</v>
      </c>
      <c r="E255" s="272" t="s">
        <v>81</v>
      </c>
      <c r="F255" s="272" t="s">
        <v>82</v>
      </c>
      <c r="G255" s="273" t="s">
        <v>49</v>
      </c>
      <c r="H255" s="274"/>
    </row>
    <row r="256" ht="27.0" customHeight="1">
      <c r="A256" s="86"/>
      <c r="B256" s="86"/>
      <c r="D256" s="275" t="str">
        <f t="array" ref="D256">IFERROR(INDEX('計測入力シート（ここのみ編集可）'!$BN$17:$BN$116,MATCH(A255&amp;B255,'計測入力シート（ここのみ編集可）'!$BO$17:$BO$116,0)),"")</f>
        <v/>
      </c>
      <c r="E256" s="276" t="str">
        <f t="array" ref="E256">IFERROR(INDEX('計測入力シート（ここのみ編集可）'!$BP$17:$BP$116,MATCH(A255&amp;B255,'計測入力シート（ここのみ編集可）'!$BO$17:$BO$116,0)),"")</f>
        <v/>
      </c>
      <c r="F256" s="277" t="str">
        <f t="array" ref="F256">IFERROR(INDEX('計測入力シート（ここのみ編集可）'!$BR$17:$BR$116,MATCH(A255&amp;B255,'計測入力シート（ここのみ編集可）'!$BO$17:$BO$116,0)),"")</f>
        <v/>
      </c>
      <c r="G256" s="278" t="str">
        <f t="array" ref="G256">IFERROR(INDEX('計測入力シート（ここのみ編集可）'!$BL$17:$BL$116,MATCH(A255&amp;B255,'計測入力シート（ここのみ編集可）'!$BO$17:$BO$116,0)),"")</f>
        <v/>
      </c>
      <c r="H256" s="279"/>
    </row>
    <row r="257" ht="27.0" customHeight="1">
      <c r="D257" s="280" t="s">
        <v>2</v>
      </c>
      <c r="E257" s="281" t="str">
        <f t="array" ref="E257">IFERROR(INDEX('計測入力シート（ここのみ編集可）'!$C$17:$C$116,MATCH(A255&amp;B255,'計測入力シート（ここのみ編集可）'!$BO$17:$BO$116,0)),"")</f>
        <v/>
      </c>
      <c r="F257" s="282" t="s">
        <v>17</v>
      </c>
      <c r="G257" s="283" t="str">
        <f t="array" ref="G257">IFERROR(INDEX('計測入力シート（ここのみ編集可）'!$D$17:$D$116,MATCH(A255&amp;B255,'計測入力シート（ここのみ編集可）'!$BO$17:$BO$116,0)),"")</f>
        <v/>
      </c>
      <c r="H257" s="284"/>
    </row>
    <row r="258" ht="27.0" customHeight="1">
      <c r="D258" s="285" t="s">
        <v>1</v>
      </c>
      <c r="E258" s="286" t="str">
        <f t="array" ref="E258">IFERROR(INDEX('計測入力シート（ここのみ編集可）'!$B$17:$B$116,MATCH(A255&amp;B255,'計測入力シート（ここのみ編集可）'!$BO$17:$BO$116,0)),"")</f>
        <v/>
      </c>
      <c r="F258" s="287" t="s">
        <v>18</v>
      </c>
      <c r="G258" s="288" t="str">
        <f t="array" ref="G258">IFERROR(INDEX('計測入力シート（ここのみ編集可）'!$E$17:$E$116,MATCH(A255&amp;B255,'計測入力シート（ここのみ編集可）'!$BO$17:$BO$116,0)),"")</f>
        <v/>
      </c>
      <c r="H258" s="289"/>
    </row>
    <row r="259" ht="24.75" customHeight="1">
      <c r="D259" s="290" t="s">
        <v>92</v>
      </c>
      <c r="E259" s="291" t="str">
        <f t="array" ref="E259">IFERROR(INDEX(#REF!,MATCH(A255&amp;B255,'計測入力シート（ここのみ編集可）'!$BO$17:$BO$116,0)),"")</f>
        <v/>
      </c>
      <c r="H259" s="232"/>
    </row>
    <row r="260" ht="52.5" customHeight="1">
      <c r="D260" s="292" t="s">
        <v>100</v>
      </c>
      <c r="E260" s="293" t="str">
        <f t="array" ref="E260">IFERROR(INDEX(#REF!,MATCH(A255&amp;B255,'計測入力シート（ここのみ編集可）'!$BO$17:$BO$116,0)),"")</f>
        <v/>
      </c>
      <c r="F260" s="95"/>
      <c r="G260" s="95"/>
      <c r="H260" s="96"/>
    </row>
    <row r="261" ht="20.25" customHeight="1">
      <c r="D261" s="294" t="s">
        <v>39</v>
      </c>
      <c r="E261" s="295" t="str">
        <f t="array" ref="E261">IFERROR(INDEX('計測入力シート（ここのみ編集可）'!$AW$17:$AW$116,MATCH(A255&amp;B255,'計測入力シート（ここのみ編集可）'!$BO$17:$BO$116,0)),"")</f>
        <v/>
      </c>
      <c r="F261" s="296"/>
      <c r="G261" s="297" t="s">
        <v>110</v>
      </c>
      <c r="H261" s="298" t="str">
        <f t="array" ref="H261">IFERROR(INDEX('計測入力シート（ここのみ編集可）'!$AY$17:$AY$116,MATCH(A255&amp;B255,'計測入力シート（ここのみ編集可）'!$BO$17:$BO$116,0)),"")</f>
        <v/>
      </c>
    </row>
    <row r="262" ht="20.25" customHeight="1">
      <c r="D262" s="299" t="s">
        <v>42</v>
      </c>
      <c r="E262" s="300" t="str">
        <f t="array" ref="E262">IFERROR(INDEX('計測入力シート（ここのみ編集可）'!$AZ$17:$AZ$116,MATCH(A255&amp;B255,'計測入力シート（ここのみ編集可）'!$BO$17:$BO$116,0)),"")</f>
        <v/>
      </c>
      <c r="F262" s="116"/>
      <c r="G262" s="301" t="s">
        <v>111</v>
      </c>
      <c r="H262" s="302" t="str">
        <f t="array" ref="H262">IFERROR(INDEX('計測入力シート（ここのみ編集可）'!$BB$17:$BB$116,MATCH(A255&amp;B255,'計測入力シート（ここのみ編集可）'!$BO$17:$BO$116,0)),"")</f>
        <v/>
      </c>
    </row>
    <row r="263" ht="20.25" customHeight="1">
      <c r="D263" s="303" t="s">
        <v>112</v>
      </c>
      <c r="E263" s="304" t="str">
        <f t="array" ref="E263">IFERROR(INDEX('計測入力シート（ここのみ編集可）'!$BC$17:$BC$116,MATCH(A255&amp;B255,'計測入力シート（ここのみ編集可）'!$BO$17:$BO$116,0)),"")</f>
        <v/>
      </c>
      <c r="F263" s="305"/>
      <c r="G263" s="306" t="s">
        <v>25</v>
      </c>
      <c r="H263" s="307" t="str">
        <f t="array" ref="H263">IFERROR(INDEX('計測入力シート（ここのみ編集可）'!$BD$17:$BD$116,MATCH(A255&amp;B255,'計測入力シート（ここのみ編集可）'!$BO$17:$BO$116,0)),"")</f>
        <v/>
      </c>
    </row>
    <row r="264" ht="20.25" customHeight="1">
      <c r="D264" s="308"/>
    </row>
    <row r="265" ht="27.0" customHeight="1">
      <c r="A265" s="52" t="str">
        <f>A255</f>
        <v>N</v>
      </c>
      <c r="B265" s="52">
        <f>B255+1</f>
        <v>27</v>
      </c>
      <c r="D265" s="271" t="s">
        <v>80</v>
      </c>
      <c r="E265" s="272" t="s">
        <v>81</v>
      </c>
      <c r="F265" s="272" t="s">
        <v>82</v>
      </c>
      <c r="G265" s="273" t="s">
        <v>49</v>
      </c>
      <c r="H265" s="274"/>
    </row>
    <row r="266" ht="27.0" customHeight="1">
      <c r="A266" s="86"/>
      <c r="B266" s="86"/>
      <c r="D266" s="275" t="str">
        <f t="array" ref="D266">IFERROR(INDEX('計測入力シート（ここのみ編集可）'!$BN$17:$BN$116,MATCH(A265&amp;B265,'計測入力シート（ここのみ編集可）'!$BO$17:$BO$116,0)),"")</f>
        <v/>
      </c>
      <c r="E266" s="276" t="str">
        <f t="array" ref="E266">IFERROR(INDEX('計測入力シート（ここのみ編集可）'!$BP$17:$BP$116,MATCH(A265&amp;B265,'計測入力シート（ここのみ編集可）'!$BO$17:$BO$116,0)),"")</f>
        <v/>
      </c>
      <c r="F266" s="277" t="str">
        <f t="array" ref="F266">IFERROR(INDEX('計測入力シート（ここのみ編集可）'!$BR$17:$BR$116,MATCH(A265&amp;B265,'計測入力シート（ここのみ編集可）'!$BO$17:$BO$116,0)),"")</f>
        <v/>
      </c>
      <c r="G266" s="278" t="str">
        <f t="array" ref="G266">IFERROR(INDEX('計測入力シート（ここのみ編集可）'!$BL$17:$BL$116,MATCH(A265&amp;B265,'計測入力シート（ここのみ編集可）'!$BO$17:$BO$116,0)),"")</f>
        <v/>
      </c>
      <c r="H266" s="279"/>
    </row>
    <row r="267" ht="27.0" customHeight="1">
      <c r="D267" s="280" t="s">
        <v>2</v>
      </c>
      <c r="E267" s="281" t="str">
        <f t="array" ref="E267">IFERROR(INDEX('計測入力シート（ここのみ編集可）'!$C$17:$C$116,MATCH(A265&amp;B265,'計測入力シート（ここのみ編集可）'!$BO$17:$BO$116,0)),"")</f>
        <v/>
      </c>
      <c r="F267" s="282" t="s">
        <v>17</v>
      </c>
      <c r="G267" s="283" t="str">
        <f t="array" ref="G267">IFERROR(INDEX('計測入力シート（ここのみ編集可）'!$D$17:$D$116,MATCH(A265&amp;B265,'計測入力シート（ここのみ編集可）'!$BO$17:$BO$116,0)),"")</f>
        <v/>
      </c>
      <c r="H267" s="284"/>
    </row>
    <row r="268" ht="27.0" customHeight="1">
      <c r="D268" s="285" t="s">
        <v>1</v>
      </c>
      <c r="E268" s="286" t="str">
        <f t="array" ref="E268">IFERROR(INDEX('計測入力シート（ここのみ編集可）'!$B$17:$B$116,MATCH(A265&amp;B265,'計測入力シート（ここのみ編集可）'!$BO$17:$BO$116,0)),"")</f>
        <v/>
      </c>
      <c r="F268" s="287" t="s">
        <v>18</v>
      </c>
      <c r="G268" s="288" t="str">
        <f t="array" ref="G268">IFERROR(INDEX('計測入力シート（ここのみ編集可）'!$E$17:$E$116,MATCH(A265&amp;B265,'計測入力シート（ここのみ編集可）'!$BO$17:$BO$116,0)),"")</f>
        <v/>
      </c>
      <c r="H268" s="289"/>
    </row>
    <row r="269" ht="24.75" customHeight="1">
      <c r="D269" s="290" t="s">
        <v>92</v>
      </c>
      <c r="E269" s="291" t="str">
        <f t="array" ref="E269">IFERROR(INDEX(#REF!,MATCH(A265&amp;B265,'計測入力シート（ここのみ編集可）'!$BO$17:$BO$116,0)),"")</f>
        <v/>
      </c>
      <c r="H269" s="232"/>
    </row>
    <row r="270" ht="52.5" customHeight="1">
      <c r="D270" s="292" t="s">
        <v>100</v>
      </c>
      <c r="E270" s="293" t="str">
        <f t="array" ref="E270">IFERROR(INDEX(#REF!,MATCH(A265&amp;B265,'計測入力シート（ここのみ編集可）'!$BO$17:$BO$116,0)),"")</f>
        <v/>
      </c>
      <c r="F270" s="95"/>
      <c r="G270" s="95"/>
      <c r="H270" s="96"/>
    </row>
    <row r="271" ht="20.25" customHeight="1">
      <c r="D271" s="294" t="s">
        <v>39</v>
      </c>
      <c r="E271" s="295" t="str">
        <f t="array" ref="E271">IFERROR(INDEX('計測入力シート（ここのみ編集可）'!$AW$17:$AW$116,MATCH(A265&amp;B265,'計測入力シート（ここのみ編集可）'!$BO$17:$BO$116,0)),"")</f>
        <v/>
      </c>
      <c r="F271" s="296"/>
      <c r="G271" s="297" t="s">
        <v>110</v>
      </c>
      <c r="H271" s="298" t="str">
        <f t="array" ref="H271">IFERROR(INDEX('計測入力シート（ここのみ編集可）'!$AY$17:$AY$116,MATCH(A265&amp;B265,'計測入力シート（ここのみ編集可）'!$BO$17:$BO$116,0)),"")</f>
        <v/>
      </c>
    </row>
    <row r="272" ht="20.25" customHeight="1">
      <c r="D272" s="299" t="s">
        <v>42</v>
      </c>
      <c r="E272" s="300" t="str">
        <f t="array" ref="E272">IFERROR(INDEX('計測入力シート（ここのみ編集可）'!$AZ$17:$AZ$116,MATCH(A265&amp;B265,'計測入力シート（ここのみ編集可）'!$BO$17:$BO$116,0)),"")</f>
        <v/>
      </c>
      <c r="F272" s="116"/>
      <c r="G272" s="301" t="s">
        <v>111</v>
      </c>
      <c r="H272" s="302" t="str">
        <f t="array" ref="H272">IFERROR(INDEX('計測入力シート（ここのみ編集可）'!$BB$17:$BB$116,MATCH(A265&amp;B265,'計測入力シート（ここのみ編集可）'!$BO$17:$BO$116,0)),"")</f>
        <v/>
      </c>
    </row>
    <row r="273" ht="20.25" customHeight="1">
      <c r="D273" s="303" t="s">
        <v>112</v>
      </c>
      <c r="E273" s="304" t="str">
        <f t="array" ref="E273">IFERROR(INDEX('計測入力シート（ここのみ編集可）'!$BC$17:$BC$116,MATCH(A265&amp;B265,'計測入力シート（ここのみ編集可）'!$BO$17:$BO$116,0)),"")</f>
        <v/>
      </c>
      <c r="F273" s="305"/>
      <c r="G273" s="306" t="s">
        <v>25</v>
      </c>
      <c r="H273" s="307" t="str">
        <f t="array" ref="H273">IFERROR(INDEX('計測入力シート（ここのみ編集可）'!$BD$17:$BD$116,MATCH(A265&amp;B265,'計測入力シート（ここのみ編集可）'!$BO$17:$BO$116,0)),"")</f>
        <v/>
      </c>
    </row>
    <row r="274" ht="20.25" customHeight="1">
      <c r="D274" s="308"/>
    </row>
    <row r="275" ht="27.0" customHeight="1">
      <c r="A275" s="52" t="str">
        <f>A265</f>
        <v>N</v>
      </c>
      <c r="B275" s="52">
        <f>B265+1</f>
        <v>28</v>
      </c>
      <c r="D275" s="271" t="s">
        <v>80</v>
      </c>
      <c r="E275" s="272" t="s">
        <v>81</v>
      </c>
      <c r="F275" s="272" t="s">
        <v>82</v>
      </c>
      <c r="G275" s="273" t="s">
        <v>49</v>
      </c>
      <c r="H275" s="274"/>
    </row>
    <row r="276" ht="27.0" customHeight="1">
      <c r="A276" s="86"/>
      <c r="B276" s="86"/>
      <c r="D276" s="275" t="str">
        <f t="array" ref="D276">IFERROR(INDEX('計測入力シート（ここのみ編集可）'!$BN$17:$BN$116,MATCH(A275&amp;B275,'計測入力シート（ここのみ編集可）'!$BO$17:$BO$116,0)),"")</f>
        <v/>
      </c>
      <c r="E276" s="276" t="str">
        <f t="array" ref="E276">IFERROR(INDEX('計測入力シート（ここのみ編集可）'!$BP$17:$BP$116,MATCH(A275&amp;B275,'計測入力シート（ここのみ編集可）'!$BO$17:$BO$116,0)),"")</f>
        <v/>
      </c>
      <c r="F276" s="277" t="str">
        <f t="array" ref="F276">IFERROR(INDEX('計測入力シート（ここのみ編集可）'!$BR$17:$BR$116,MATCH(A275&amp;B275,'計測入力シート（ここのみ編集可）'!$BO$17:$BO$116,0)),"")</f>
        <v/>
      </c>
      <c r="G276" s="278" t="str">
        <f t="array" ref="G276">IFERROR(INDEX('計測入力シート（ここのみ編集可）'!$BL$17:$BL$116,MATCH(A275&amp;B275,'計測入力シート（ここのみ編集可）'!$BO$17:$BO$116,0)),"")</f>
        <v/>
      </c>
      <c r="H276" s="279"/>
    </row>
    <row r="277" ht="27.0" customHeight="1">
      <c r="D277" s="280" t="s">
        <v>2</v>
      </c>
      <c r="E277" s="281" t="str">
        <f t="array" ref="E277">IFERROR(INDEX('計測入力シート（ここのみ編集可）'!$C$17:$C$116,MATCH(A275&amp;B275,'計測入力シート（ここのみ編集可）'!$BO$17:$BO$116,0)),"")</f>
        <v/>
      </c>
      <c r="F277" s="282" t="s">
        <v>17</v>
      </c>
      <c r="G277" s="283" t="str">
        <f t="array" ref="G277">IFERROR(INDEX('計測入力シート（ここのみ編集可）'!$D$17:$D$116,MATCH(A275&amp;B275,'計測入力シート（ここのみ編集可）'!$BO$17:$BO$116,0)),"")</f>
        <v/>
      </c>
      <c r="H277" s="284"/>
    </row>
    <row r="278" ht="27.0" customHeight="1">
      <c r="D278" s="285" t="s">
        <v>1</v>
      </c>
      <c r="E278" s="286" t="str">
        <f t="array" ref="E278">IFERROR(INDEX('計測入力シート（ここのみ編集可）'!$B$17:$B$116,MATCH(A275&amp;B275,'計測入力シート（ここのみ編集可）'!$BO$17:$BO$116,0)),"")</f>
        <v/>
      </c>
      <c r="F278" s="287" t="s">
        <v>18</v>
      </c>
      <c r="G278" s="288" t="str">
        <f t="array" ref="G278">IFERROR(INDEX('計測入力シート（ここのみ編集可）'!$E$17:$E$116,MATCH(A275&amp;B275,'計測入力シート（ここのみ編集可）'!$BO$17:$BO$116,0)),"")</f>
        <v/>
      </c>
      <c r="H278" s="289"/>
    </row>
    <row r="279" ht="24.75" customHeight="1">
      <c r="D279" s="290" t="s">
        <v>92</v>
      </c>
      <c r="E279" s="291" t="str">
        <f t="array" ref="E279">IFERROR(INDEX(#REF!,MATCH(A275&amp;B275,'計測入力シート（ここのみ編集可）'!$BO$17:$BO$116,0)),"")</f>
        <v/>
      </c>
      <c r="H279" s="232"/>
    </row>
    <row r="280" ht="52.5" customHeight="1">
      <c r="D280" s="292" t="s">
        <v>100</v>
      </c>
      <c r="E280" s="293" t="str">
        <f t="array" ref="E280">IFERROR(INDEX(#REF!,MATCH(A275&amp;B275,'計測入力シート（ここのみ編集可）'!$BO$17:$BO$116,0)),"")</f>
        <v/>
      </c>
      <c r="F280" s="95"/>
      <c r="G280" s="95"/>
      <c r="H280" s="96"/>
    </row>
    <row r="281" ht="20.25" customHeight="1">
      <c r="D281" s="294" t="s">
        <v>39</v>
      </c>
      <c r="E281" s="295" t="str">
        <f t="array" ref="E281">IFERROR(INDEX('計測入力シート（ここのみ編集可）'!$AW$17:$AW$116,MATCH(A275&amp;B275,'計測入力シート（ここのみ編集可）'!$BO$17:$BO$116,0)),"")</f>
        <v/>
      </c>
      <c r="F281" s="296"/>
      <c r="G281" s="297" t="s">
        <v>110</v>
      </c>
      <c r="H281" s="298" t="str">
        <f t="array" ref="H281">IFERROR(INDEX('計測入力シート（ここのみ編集可）'!$AY$17:$AY$116,MATCH(A275&amp;B275,'計測入力シート（ここのみ編集可）'!$BO$17:$BO$116,0)),"")</f>
        <v/>
      </c>
    </row>
    <row r="282" ht="20.25" customHeight="1">
      <c r="D282" s="299" t="s">
        <v>42</v>
      </c>
      <c r="E282" s="300" t="str">
        <f t="array" ref="E282">IFERROR(INDEX('計測入力シート（ここのみ編集可）'!$AZ$17:$AZ$116,MATCH(A275&amp;B275,'計測入力シート（ここのみ編集可）'!$BO$17:$BO$116,0)),"")</f>
        <v/>
      </c>
      <c r="F282" s="116"/>
      <c r="G282" s="301" t="s">
        <v>111</v>
      </c>
      <c r="H282" s="302" t="str">
        <f t="array" ref="H282">IFERROR(INDEX('計測入力シート（ここのみ編集可）'!$BB$17:$BB$116,MATCH(A275&amp;B275,'計測入力シート（ここのみ編集可）'!$BO$17:$BO$116,0)),"")</f>
        <v/>
      </c>
    </row>
    <row r="283" ht="20.25" customHeight="1">
      <c r="D283" s="303" t="s">
        <v>112</v>
      </c>
      <c r="E283" s="304" t="str">
        <f t="array" ref="E283">IFERROR(INDEX('計測入力シート（ここのみ編集可）'!$BC$17:$BC$116,MATCH(A275&amp;B275,'計測入力シート（ここのみ編集可）'!$BO$17:$BO$116,0)),"")</f>
        <v/>
      </c>
      <c r="F283" s="305"/>
      <c r="G283" s="306" t="s">
        <v>25</v>
      </c>
      <c r="H283" s="307" t="str">
        <f t="array" ref="H283">IFERROR(INDEX('計測入力シート（ここのみ編集可）'!$BD$17:$BD$116,MATCH(A275&amp;B275,'計測入力シート（ここのみ編集可）'!$BO$17:$BO$116,0)),"")</f>
        <v/>
      </c>
    </row>
    <row r="284" ht="20.25" customHeight="1">
      <c r="D284" s="308"/>
    </row>
    <row r="285" ht="27.0" customHeight="1">
      <c r="A285" s="52" t="str">
        <f>A275</f>
        <v>N</v>
      </c>
      <c r="B285" s="52">
        <f>B275+1</f>
        <v>29</v>
      </c>
      <c r="D285" s="271" t="s">
        <v>80</v>
      </c>
      <c r="E285" s="272" t="s">
        <v>81</v>
      </c>
      <c r="F285" s="272" t="s">
        <v>82</v>
      </c>
      <c r="G285" s="273" t="s">
        <v>49</v>
      </c>
      <c r="H285" s="274"/>
    </row>
    <row r="286" ht="27.0" customHeight="1">
      <c r="A286" s="86"/>
      <c r="B286" s="86"/>
      <c r="D286" s="275" t="str">
        <f t="array" ref="D286">IFERROR(INDEX('計測入力シート（ここのみ編集可）'!$BN$17:$BN$116,MATCH(A285&amp;B285,'計測入力シート（ここのみ編集可）'!$BO$17:$BO$116,0)),"")</f>
        <v/>
      </c>
      <c r="E286" s="276" t="str">
        <f t="array" ref="E286">IFERROR(INDEX('計測入力シート（ここのみ編集可）'!$BP$17:$BP$116,MATCH(A285&amp;B285,'計測入力シート（ここのみ編集可）'!$BO$17:$BO$116,0)),"")</f>
        <v/>
      </c>
      <c r="F286" s="277" t="str">
        <f t="array" ref="F286">IFERROR(INDEX('計測入力シート（ここのみ編集可）'!$BR$17:$BR$116,MATCH(A285&amp;B285,'計測入力シート（ここのみ編集可）'!$BO$17:$BO$116,0)),"")</f>
        <v/>
      </c>
      <c r="G286" s="278" t="str">
        <f t="array" ref="G286">IFERROR(INDEX('計測入力シート（ここのみ編集可）'!$BL$17:$BL$116,MATCH(A285&amp;B285,'計測入力シート（ここのみ編集可）'!$BO$17:$BO$116,0)),"")</f>
        <v/>
      </c>
      <c r="H286" s="279"/>
    </row>
    <row r="287" ht="27.0" customHeight="1">
      <c r="D287" s="280" t="s">
        <v>2</v>
      </c>
      <c r="E287" s="281" t="str">
        <f t="array" ref="E287">IFERROR(INDEX('計測入力シート（ここのみ編集可）'!$C$17:$C$116,MATCH(A285&amp;B285,'計測入力シート（ここのみ編集可）'!$BO$17:$BO$116,0)),"")</f>
        <v/>
      </c>
      <c r="F287" s="282" t="s">
        <v>17</v>
      </c>
      <c r="G287" s="283" t="str">
        <f t="array" ref="G287">IFERROR(INDEX('計測入力シート（ここのみ編集可）'!$D$17:$D$116,MATCH(A285&amp;B285,'計測入力シート（ここのみ編集可）'!$BO$17:$BO$116,0)),"")</f>
        <v/>
      </c>
      <c r="H287" s="284"/>
    </row>
    <row r="288" ht="27.0" customHeight="1">
      <c r="D288" s="285" t="s">
        <v>1</v>
      </c>
      <c r="E288" s="286" t="str">
        <f t="array" ref="E288">IFERROR(INDEX('計測入力シート（ここのみ編集可）'!$B$17:$B$116,MATCH(A285&amp;B285,'計測入力シート（ここのみ編集可）'!$BO$17:$BO$116,0)),"")</f>
        <v/>
      </c>
      <c r="F288" s="287" t="s">
        <v>18</v>
      </c>
      <c r="G288" s="288" t="str">
        <f t="array" ref="G288">IFERROR(INDEX('計測入力シート（ここのみ編集可）'!$E$17:$E$116,MATCH(A285&amp;B285,'計測入力シート（ここのみ編集可）'!$BO$17:$BO$116,0)),"")</f>
        <v/>
      </c>
      <c r="H288" s="289"/>
    </row>
    <row r="289" ht="24.75" customHeight="1">
      <c r="D289" s="290" t="s">
        <v>92</v>
      </c>
      <c r="E289" s="291" t="str">
        <f t="array" ref="E289">IFERROR(INDEX(#REF!,MATCH(A285&amp;B285,'計測入力シート（ここのみ編集可）'!$BO$17:$BO$116,0)),"")</f>
        <v/>
      </c>
      <c r="H289" s="232"/>
    </row>
    <row r="290" ht="52.5" customHeight="1">
      <c r="D290" s="292" t="s">
        <v>100</v>
      </c>
      <c r="E290" s="293" t="str">
        <f t="array" ref="E290">IFERROR(INDEX(#REF!,MATCH(A285&amp;B285,'計測入力シート（ここのみ編集可）'!$BO$17:$BO$116,0)),"")</f>
        <v/>
      </c>
      <c r="F290" s="95"/>
      <c r="G290" s="95"/>
      <c r="H290" s="96"/>
    </row>
    <row r="291" ht="20.25" customHeight="1">
      <c r="D291" s="294" t="s">
        <v>39</v>
      </c>
      <c r="E291" s="295" t="str">
        <f t="array" ref="E291">IFERROR(INDEX('計測入力シート（ここのみ編集可）'!$AW$17:$AW$116,MATCH(A285&amp;B285,'計測入力シート（ここのみ編集可）'!$BO$17:$BO$116,0)),"")</f>
        <v/>
      </c>
      <c r="F291" s="296"/>
      <c r="G291" s="297" t="s">
        <v>110</v>
      </c>
      <c r="H291" s="298" t="str">
        <f t="array" ref="H291">IFERROR(INDEX('計測入力シート（ここのみ編集可）'!$AY$17:$AY$116,MATCH(A285&amp;B285,'計測入力シート（ここのみ編集可）'!$BO$17:$BO$116,0)),"")</f>
        <v/>
      </c>
    </row>
    <row r="292" ht="20.25" customHeight="1">
      <c r="D292" s="299" t="s">
        <v>42</v>
      </c>
      <c r="E292" s="300" t="str">
        <f t="array" ref="E292">IFERROR(INDEX('計測入力シート（ここのみ編集可）'!$AZ$17:$AZ$116,MATCH(A285&amp;B285,'計測入力シート（ここのみ編集可）'!$BO$17:$BO$116,0)),"")</f>
        <v/>
      </c>
      <c r="F292" s="116"/>
      <c r="G292" s="301" t="s">
        <v>111</v>
      </c>
      <c r="H292" s="302" t="str">
        <f t="array" ref="H292">IFERROR(INDEX('計測入力シート（ここのみ編集可）'!$BB$17:$BB$116,MATCH(A285&amp;B285,'計測入力シート（ここのみ編集可）'!$BO$17:$BO$116,0)),"")</f>
        <v/>
      </c>
    </row>
    <row r="293" ht="20.25" customHeight="1">
      <c r="D293" s="303" t="s">
        <v>112</v>
      </c>
      <c r="E293" s="304" t="str">
        <f t="array" ref="E293">IFERROR(INDEX('計測入力シート（ここのみ編集可）'!$BC$17:$BC$116,MATCH(A285&amp;B285,'計測入力シート（ここのみ編集可）'!$BO$17:$BO$116,0)),"")</f>
        <v/>
      </c>
      <c r="F293" s="305"/>
      <c r="G293" s="306" t="s">
        <v>25</v>
      </c>
      <c r="H293" s="307" t="str">
        <f t="array" ref="H293">IFERROR(INDEX('計測入力シート（ここのみ編集可）'!$BD$17:$BD$116,MATCH(A285&amp;B285,'計測入力シート（ここのみ編集可）'!$BO$17:$BO$116,0)),"")</f>
        <v/>
      </c>
    </row>
    <row r="294" ht="20.25" customHeight="1">
      <c r="D294" s="308"/>
    </row>
    <row r="295" ht="27.0" customHeight="1">
      <c r="A295" s="52" t="str">
        <f>A285</f>
        <v>N</v>
      </c>
      <c r="B295" s="52">
        <f>B285+1</f>
        <v>30</v>
      </c>
      <c r="D295" s="271" t="s">
        <v>80</v>
      </c>
      <c r="E295" s="272" t="s">
        <v>81</v>
      </c>
      <c r="F295" s="272" t="s">
        <v>82</v>
      </c>
      <c r="G295" s="273" t="s">
        <v>49</v>
      </c>
      <c r="H295" s="274"/>
    </row>
    <row r="296" ht="27.0" customHeight="1">
      <c r="A296" s="86"/>
      <c r="B296" s="86"/>
      <c r="D296" s="275" t="str">
        <f t="array" ref="D296">IFERROR(INDEX('計測入力シート（ここのみ編集可）'!$BN$17:$BN$116,MATCH(A295&amp;B295,'計測入力シート（ここのみ編集可）'!$BO$17:$BO$116,0)),"")</f>
        <v/>
      </c>
      <c r="E296" s="276" t="str">
        <f t="array" ref="E296">IFERROR(INDEX('計測入力シート（ここのみ編集可）'!$BP$17:$BP$116,MATCH(A295&amp;B295,'計測入力シート（ここのみ編集可）'!$BO$17:$BO$116,0)),"")</f>
        <v/>
      </c>
      <c r="F296" s="277" t="str">
        <f t="array" ref="F296">IFERROR(INDEX('計測入力シート（ここのみ編集可）'!$BR$17:$BR$116,MATCH(A295&amp;B295,'計測入力シート（ここのみ編集可）'!$BO$17:$BO$116,0)),"")</f>
        <v/>
      </c>
      <c r="G296" s="278" t="str">
        <f t="array" ref="G296">IFERROR(INDEX('計測入力シート（ここのみ編集可）'!$BL$17:$BL$116,MATCH(A295&amp;B295,'計測入力シート（ここのみ編集可）'!$BO$17:$BO$116,0)),"")</f>
        <v/>
      </c>
      <c r="H296" s="279"/>
    </row>
    <row r="297" ht="27.0" customHeight="1">
      <c r="D297" s="280" t="s">
        <v>2</v>
      </c>
      <c r="E297" s="281" t="str">
        <f t="array" ref="E297">IFERROR(INDEX('計測入力シート（ここのみ編集可）'!$C$17:$C$116,MATCH(A295&amp;B295,'計測入力シート（ここのみ編集可）'!$BO$17:$BO$116,0)),"")</f>
        <v/>
      </c>
      <c r="F297" s="282" t="s">
        <v>17</v>
      </c>
      <c r="G297" s="283" t="str">
        <f t="array" ref="G297">IFERROR(INDEX('計測入力シート（ここのみ編集可）'!$D$17:$D$116,MATCH(A295&amp;B295,'計測入力シート（ここのみ編集可）'!$BO$17:$BO$116,0)),"")</f>
        <v/>
      </c>
      <c r="H297" s="284"/>
    </row>
    <row r="298" ht="27.0" customHeight="1">
      <c r="D298" s="285" t="s">
        <v>1</v>
      </c>
      <c r="E298" s="286" t="str">
        <f t="array" ref="E298">IFERROR(INDEX('計測入力シート（ここのみ編集可）'!$B$17:$B$116,MATCH(A295&amp;B295,'計測入力シート（ここのみ編集可）'!$BO$17:$BO$116,0)),"")</f>
        <v/>
      </c>
      <c r="F298" s="287" t="s">
        <v>18</v>
      </c>
      <c r="G298" s="288" t="str">
        <f t="array" ref="G298">IFERROR(INDEX('計測入力シート（ここのみ編集可）'!$E$17:$E$116,MATCH(A295&amp;B295,'計測入力シート（ここのみ編集可）'!$BO$17:$BO$116,0)),"")</f>
        <v/>
      </c>
      <c r="H298" s="289"/>
    </row>
    <row r="299" ht="24.75" customHeight="1">
      <c r="D299" s="290" t="s">
        <v>92</v>
      </c>
      <c r="E299" s="291" t="str">
        <f t="array" ref="E299">IFERROR(INDEX(#REF!,MATCH(A295&amp;B295,'計測入力シート（ここのみ編集可）'!$BO$17:$BO$116,0)),"")</f>
        <v/>
      </c>
      <c r="H299" s="232"/>
    </row>
    <row r="300" ht="52.5" customHeight="1">
      <c r="D300" s="292" t="s">
        <v>100</v>
      </c>
      <c r="E300" s="293" t="str">
        <f t="array" ref="E300">IFERROR(INDEX(#REF!,MATCH(A295&amp;B295,'計測入力シート（ここのみ編集可）'!$BO$17:$BO$116,0)),"")</f>
        <v/>
      </c>
      <c r="F300" s="95"/>
      <c r="G300" s="95"/>
      <c r="H300" s="96"/>
    </row>
    <row r="301" ht="20.25" customHeight="1">
      <c r="D301" s="294" t="s">
        <v>39</v>
      </c>
      <c r="E301" s="295" t="str">
        <f t="array" ref="E301">IFERROR(INDEX('計測入力シート（ここのみ編集可）'!$AW$17:$AW$116,MATCH(A295&amp;B295,'計測入力シート（ここのみ編集可）'!$BO$17:$BO$116,0)),"")</f>
        <v/>
      </c>
      <c r="F301" s="296"/>
      <c r="G301" s="297" t="s">
        <v>110</v>
      </c>
      <c r="H301" s="298" t="str">
        <f t="array" ref="H301">IFERROR(INDEX('計測入力シート（ここのみ編集可）'!$AY$17:$AY$116,MATCH(A295&amp;B295,'計測入力シート（ここのみ編集可）'!$BO$17:$BO$116,0)),"")</f>
        <v/>
      </c>
    </row>
    <row r="302" ht="20.25" customHeight="1">
      <c r="D302" s="299" t="s">
        <v>42</v>
      </c>
      <c r="E302" s="300" t="str">
        <f t="array" ref="E302">IFERROR(INDEX('計測入力シート（ここのみ編集可）'!$AZ$17:$AZ$116,MATCH(A295&amp;B295,'計測入力シート（ここのみ編集可）'!$BO$17:$BO$116,0)),"")</f>
        <v/>
      </c>
      <c r="F302" s="116"/>
      <c r="G302" s="301" t="s">
        <v>111</v>
      </c>
      <c r="H302" s="302" t="str">
        <f t="array" ref="H302">IFERROR(INDEX('計測入力シート（ここのみ編集可）'!$BB$17:$BB$116,MATCH(A295&amp;B295,'計測入力シート（ここのみ編集可）'!$BO$17:$BO$116,0)),"")</f>
        <v/>
      </c>
    </row>
    <row r="303" ht="20.25" customHeight="1">
      <c r="D303" s="303" t="s">
        <v>112</v>
      </c>
      <c r="E303" s="304" t="str">
        <f t="array" ref="E303">IFERROR(INDEX('計測入力シート（ここのみ編集可）'!$BC$17:$BC$116,MATCH(A295&amp;B295,'計測入力シート（ここのみ編集可）'!$BO$17:$BO$116,0)),"")</f>
        <v/>
      </c>
      <c r="F303" s="305"/>
      <c r="G303" s="306" t="s">
        <v>25</v>
      </c>
      <c r="H303" s="307" t="str">
        <f t="array" ref="H303">IFERROR(INDEX('計測入力シート（ここのみ編集可）'!$BD$17:$BD$116,MATCH(A295&amp;B295,'計測入力シート（ここのみ編集可）'!$BO$17:$BO$116,0)),"")</f>
        <v/>
      </c>
    </row>
    <row r="304">
      <c r="D304" s="309"/>
      <c r="E304" s="309"/>
      <c r="F304" s="309"/>
      <c r="G304" s="309"/>
      <c r="H304" s="309"/>
    </row>
    <row r="305">
      <c r="D305" s="309"/>
      <c r="E305" s="309"/>
      <c r="F305" s="309"/>
      <c r="G305" s="309"/>
      <c r="H305" s="309"/>
    </row>
    <row r="306">
      <c r="D306" s="309"/>
      <c r="E306" s="309"/>
      <c r="F306" s="309"/>
      <c r="G306" s="309"/>
      <c r="H306" s="309"/>
    </row>
    <row r="307">
      <c r="D307" s="309"/>
      <c r="E307" s="309"/>
      <c r="F307" s="309"/>
      <c r="G307" s="309"/>
      <c r="H307" s="309"/>
    </row>
    <row r="308">
      <c r="D308" s="309"/>
      <c r="E308" s="309"/>
      <c r="F308" s="309"/>
      <c r="G308" s="309"/>
      <c r="H308" s="309"/>
    </row>
    <row r="309">
      <c r="D309" s="309"/>
      <c r="E309" s="309"/>
      <c r="F309" s="309"/>
      <c r="G309" s="309"/>
      <c r="H309" s="309"/>
    </row>
    <row r="310">
      <c r="D310" s="309"/>
      <c r="E310" s="309"/>
      <c r="F310" s="309"/>
      <c r="G310" s="309"/>
      <c r="H310" s="309"/>
    </row>
    <row r="311">
      <c r="D311" s="309"/>
      <c r="E311" s="309"/>
      <c r="F311" s="309"/>
      <c r="G311" s="309"/>
      <c r="H311" s="309"/>
    </row>
    <row r="312">
      <c r="D312" s="309"/>
      <c r="E312" s="309"/>
      <c r="F312" s="309"/>
      <c r="G312" s="309"/>
      <c r="H312" s="309"/>
    </row>
    <row r="313">
      <c r="D313" s="309"/>
      <c r="E313" s="309"/>
      <c r="F313" s="309"/>
      <c r="G313" s="309"/>
      <c r="H313" s="309"/>
    </row>
    <row r="314">
      <c r="D314" s="309"/>
      <c r="E314" s="309"/>
      <c r="F314" s="309"/>
      <c r="G314" s="309"/>
      <c r="H314" s="309"/>
    </row>
    <row r="315">
      <c r="D315" s="309"/>
      <c r="E315" s="309"/>
      <c r="F315" s="309"/>
      <c r="G315" s="309"/>
      <c r="H315" s="309"/>
    </row>
    <row r="316">
      <c r="D316" s="309"/>
      <c r="E316" s="309"/>
      <c r="F316" s="309"/>
      <c r="G316" s="309"/>
      <c r="H316" s="309"/>
    </row>
    <row r="317">
      <c r="D317" s="309"/>
      <c r="E317" s="309"/>
      <c r="F317" s="309"/>
      <c r="G317" s="309"/>
      <c r="H317" s="309"/>
    </row>
    <row r="318">
      <c r="D318" s="309"/>
      <c r="E318" s="309"/>
      <c r="F318" s="309"/>
      <c r="G318" s="309"/>
      <c r="H318" s="309"/>
    </row>
    <row r="319">
      <c r="D319" s="309"/>
      <c r="E319" s="309"/>
      <c r="F319" s="309"/>
      <c r="G319" s="309"/>
      <c r="H319" s="309"/>
    </row>
    <row r="320">
      <c r="D320" s="309"/>
      <c r="E320" s="309"/>
      <c r="F320" s="309"/>
      <c r="G320" s="309"/>
      <c r="H320" s="309"/>
    </row>
    <row r="321">
      <c r="D321" s="309"/>
      <c r="E321" s="309"/>
      <c r="F321" s="309"/>
      <c r="G321" s="309"/>
      <c r="H321" s="309"/>
      <c r="I321" s="309"/>
    </row>
    <row r="322">
      <c r="D322" s="309"/>
      <c r="E322" s="309"/>
      <c r="F322" s="309"/>
      <c r="G322" s="309"/>
      <c r="H322" s="309"/>
      <c r="I322" s="309"/>
    </row>
    <row r="323">
      <c r="D323" s="309"/>
      <c r="E323" s="309"/>
      <c r="F323" s="309"/>
      <c r="G323" s="309"/>
      <c r="H323" s="309"/>
      <c r="I323" s="309"/>
    </row>
    <row r="324">
      <c r="D324" s="309"/>
      <c r="E324" s="309"/>
      <c r="F324" s="309"/>
      <c r="G324" s="309"/>
      <c r="H324" s="309"/>
      <c r="I324" s="309"/>
    </row>
    <row r="325">
      <c r="D325" s="309"/>
      <c r="E325" s="309"/>
      <c r="F325" s="309"/>
      <c r="G325" s="309"/>
      <c r="H325" s="309"/>
      <c r="I325" s="309"/>
    </row>
    <row r="326">
      <c r="D326" s="309"/>
      <c r="E326" s="309"/>
      <c r="F326" s="309"/>
      <c r="G326" s="309"/>
      <c r="H326" s="309"/>
      <c r="I326" s="309"/>
    </row>
    <row r="327">
      <c r="D327" s="309"/>
      <c r="E327" s="309"/>
      <c r="F327" s="309"/>
      <c r="G327" s="309"/>
      <c r="H327" s="309"/>
      <c r="I327" s="309"/>
    </row>
    <row r="328">
      <c r="D328" s="309"/>
      <c r="E328" s="309"/>
      <c r="F328" s="309"/>
      <c r="G328" s="309"/>
      <c r="H328" s="309"/>
      <c r="I328" s="309"/>
    </row>
    <row r="329">
      <c r="D329" s="309"/>
      <c r="E329" s="309"/>
      <c r="F329" s="309"/>
      <c r="G329" s="309"/>
      <c r="H329" s="309"/>
      <c r="I329" s="309"/>
    </row>
    <row r="330">
      <c r="D330" s="309"/>
      <c r="E330" s="309"/>
      <c r="F330" s="309"/>
      <c r="G330" s="309"/>
      <c r="H330" s="309"/>
      <c r="I330" s="309"/>
    </row>
    <row r="331">
      <c r="D331" s="309"/>
      <c r="E331" s="309"/>
      <c r="F331" s="309"/>
      <c r="G331" s="309"/>
      <c r="H331" s="309"/>
      <c r="I331" s="309"/>
    </row>
    <row r="332">
      <c r="D332" s="309"/>
      <c r="E332" s="309"/>
      <c r="F332" s="309"/>
      <c r="G332" s="309"/>
      <c r="H332" s="309"/>
      <c r="I332" s="309"/>
    </row>
    <row r="333">
      <c r="D333" s="309"/>
      <c r="E333" s="309"/>
      <c r="F333" s="309"/>
      <c r="G333" s="309"/>
      <c r="H333" s="309"/>
      <c r="I333" s="309"/>
    </row>
    <row r="334">
      <c r="D334" s="309"/>
      <c r="E334" s="309"/>
      <c r="F334" s="309"/>
      <c r="G334" s="309"/>
      <c r="H334" s="309"/>
      <c r="I334" s="309"/>
    </row>
    <row r="335">
      <c r="D335" s="309"/>
      <c r="E335" s="309"/>
      <c r="F335" s="309"/>
      <c r="G335" s="309"/>
      <c r="H335" s="309"/>
      <c r="I335" s="309"/>
    </row>
    <row r="336">
      <c r="D336" s="309"/>
      <c r="E336" s="309"/>
      <c r="F336" s="309"/>
      <c r="G336" s="309"/>
      <c r="H336" s="309"/>
      <c r="I336" s="309"/>
    </row>
    <row r="337">
      <c r="D337" s="309"/>
      <c r="E337" s="309"/>
      <c r="F337" s="309"/>
      <c r="G337" s="309"/>
      <c r="H337" s="309"/>
      <c r="I337" s="309"/>
    </row>
    <row r="338">
      <c r="D338" s="309"/>
      <c r="E338" s="309"/>
      <c r="F338" s="309"/>
      <c r="G338" s="309"/>
      <c r="H338" s="309"/>
      <c r="I338" s="309"/>
    </row>
    <row r="339">
      <c r="D339" s="309"/>
      <c r="E339" s="309"/>
      <c r="F339" s="309"/>
      <c r="G339" s="309"/>
      <c r="H339" s="309"/>
      <c r="I339" s="309"/>
    </row>
    <row r="340">
      <c r="D340" s="309"/>
      <c r="E340" s="309"/>
      <c r="F340" s="309"/>
      <c r="G340" s="309"/>
      <c r="H340" s="309"/>
      <c r="I340" s="309"/>
    </row>
    <row r="341">
      <c r="D341" s="309"/>
      <c r="E341" s="309"/>
      <c r="F341" s="309"/>
      <c r="G341" s="309"/>
      <c r="H341" s="309"/>
      <c r="I341" s="309"/>
    </row>
    <row r="342">
      <c r="D342" s="309"/>
      <c r="E342" s="309"/>
      <c r="F342" s="309"/>
      <c r="G342" s="309"/>
      <c r="H342" s="309"/>
      <c r="I342" s="309"/>
    </row>
    <row r="343">
      <c r="D343" s="309"/>
      <c r="E343" s="309"/>
      <c r="F343" s="309"/>
      <c r="G343" s="309"/>
      <c r="H343" s="309"/>
      <c r="I343" s="309"/>
    </row>
    <row r="344">
      <c r="D344" s="309"/>
      <c r="E344" s="309"/>
      <c r="F344" s="309"/>
      <c r="G344" s="309"/>
      <c r="H344" s="309"/>
      <c r="I344" s="309"/>
    </row>
    <row r="345">
      <c r="D345" s="309"/>
      <c r="E345" s="309"/>
      <c r="F345" s="309"/>
      <c r="G345" s="309"/>
      <c r="H345" s="309"/>
      <c r="I345" s="309"/>
    </row>
    <row r="346">
      <c r="D346" s="309"/>
      <c r="E346" s="309"/>
      <c r="F346" s="309"/>
      <c r="G346" s="309"/>
      <c r="H346" s="309"/>
      <c r="I346" s="309"/>
    </row>
    <row r="347">
      <c r="D347" s="309"/>
      <c r="E347" s="309"/>
      <c r="F347" s="309"/>
      <c r="G347" s="309"/>
      <c r="H347" s="309"/>
      <c r="I347" s="309"/>
    </row>
    <row r="348">
      <c r="D348" s="309"/>
      <c r="E348" s="309"/>
      <c r="F348" s="309"/>
      <c r="G348" s="309"/>
      <c r="H348" s="309"/>
      <c r="I348" s="309"/>
    </row>
    <row r="349">
      <c r="D349" s="309"/>
      <c r="E349" s="309"/>
      <c r="F349" s="309"/>
      <c r="G349" s="309"/>
      <c r="H349" s="309"/>
      <c r="I349" s="309"/>
    </row>
    <row r="350">
      <c r="D350" s="309"/>
      <c r="E350" s="309"/>
      <c r="F350" s="309"/>
      <c r="G350" s="309"/>
      <c r="H350" s="309"/>
      <c r="I350" s="309"/>
    </row>
    <row r="351">
      <c r="D351" s="309"/>
      <c r="E351" s="309"/>
      <c r="F351" s="309"/>
      <c r="G351" s="309"/>
      <c r="H351" s="309"/>
      <c r="I351" s="309"/>
    </row>
    <row r="352">
      <c r="D352" s="309"/>
      <c r="E352" s="309"/>
      <c r="F352" s="309"/>
      <c r="G352" s="309"/>
      <c r="H352" s="309"/>
      <c r="I352" s="309"/>
    </row>
    <row r="353">
      <c r="D353" s="309"/>
      <c r="E353" s="309"/>
      <c r="F353" s="309"/>
      <c r="G353" s="309"/>
      <c r="H353" s="309"/>
      <c r="I353" s="309"/>
    </row>
    <row r="354">
      <c r="D354" s="309"/>
      <c r="E354" s="309"/>
      <c r="F354" s="309"/>
      <c r="G354" s="309"/>
      <c r="H354" s="309"/>
      <c r="I354" s="309"/>
    </row>
    <row r="355">
      <c r="D355" s="309"/>
      <c r="E355" s="309"/>
      <c r="F355" s="309"/>
      <c r="G355" s="309"/>
      <c r="H355" s="309"/>
      <c r="I355" s="309"/>
    </row>
    <row r="356">
      <c r="D356" s="309"/>
      <c r="E356" s="309"/>
      <c r="F356" s="309"/>
      <c r="G356" s="309"/>
      <c r="H356" s="309"/>
      <c r="I356" s="309"/>
    </row>
    <row r="357">
      <c r="D357" s="309"/>
      <c r="E357" s="309"/>
      <c r="F357" s="309"/>
      <c r="G357" s="309"/>
      <c r="H357" s="309"/>
      <c r="I357" s="309"/>
    </row>
    <row r="358">
      <c r="D358" s="309"/>
      <c r="E358" s="309"/>
      <c r="F358" s="309"/>
      <c r="G358" s="309"/>
      <c r="H358" s="309"/>
      <c r="I358" s="309"/>
    </row>
    <row r="359">
      <c r="D359" s="309"/>
      <c r="E359" s="309"/>
      <c r="F359" s="309"/>
      <c r="G359" s="309"/>
      <c r="H359" s="309"/>
      <c r="I359" s="309"/>
    </row>
    <row r="360">
      <c r="D360" s="309"/>
      <c r="E360" s="309"/>
      <c r="F360" s="309"/>
      <c r="G360" s="309"/>
      <c r="H360" s="309"/>
      <c r="I360" s="309"/>
    </row>
    <row r="361">
      <c r="D361" s="309"/>
      <c r="E361" s="309"/>
      <c r="F361" s="309"/>
      <c r="G361" s="309"/>
      <c r="H361" s="309"/>
      <c r="I361" s="309"/>
    </row>
    <row r="362">
      <c r="D362" s="309"/>
      <c r="E362" s="309"/>
      <c r="F362" s="309"/>
      <c r="G362" s="309"/>
      <c r="H362" s="309"/>
      <c r="I362" s="309"/>
    </row>
    <row r="363">
      <c r="D363" s="309"/>
      <c r="E363" s="309"/>
      <c r="F363" s="309"/>
      <c r="G363" s="309"/>
      <c r="H363" s="309"/>
      <c r="I363" s="309"/>
    </row>
    <row r="364">
      <c r="D364" s="309"/>
      <c r="E364" s="309"/>
      <c r="F364" s="309"/>
      <c r="G364" s="309"/>
      <c r="H364" s="309"/>
      <c r="I364" s="309"/>
    </row>
    <row r="365">
      <c r="D365" s="309"/>
      <c r="E365" s="309"/>
      <c r="F365" s="309"/>
      <c r="G365" s="309"/>
      <c r="H365" s="309"/>
      <c r="I365" s="309"/>
    </row>
    <row r="366">
      <c r="D366" s="309"/>
      <c r="E366" s="309"/>
      <c r="F366" s="309"/>
      <c r="G366" s="309"/>
      <c r="H366" s="309"/>
      <c r="I366" s="309"/>
    </row>
    <row r="367">
      <c r="D367" s="309"/>
      <c r="E367" s="309"/>
      <c r="F367" s="309"/>
      <c r="G367" s="309"/>
      <c r="H367" s="309"/>
      <c r="I367" s="309"/>
    </row>
    <row r="368">
      <c r="D368" s="309"/>
      <c r="E368" s="309"/>
      <c r="F368" s="309"/>
      <c r="G368" s="309"/>
      <c r="H368" s="309"/>
      <c r="I368" s="309"/>
    </row>
    <row r="369">
      <c r="D369" s="309"/>
      <c r="E369" s="309"/>
      <c r="F369" s="309"/>
      <c r="G369" s="309"/>
      <c r="H369" s="309"/>
      <c r="I369" s="309"/>
    </row>
    <row r="370">
      <c r="D370" s="309"/>
      <c r="E370" s="309"/>
      <c r="F370" s="309"/>
      <c r="G370" s="309"/>
      <c r="H370" s="309"/>
      <c r="I370" s="309"/>
    </row>
    <row r="371">
      <c r="D371" s="309"/>
      <c r="E371" s="309"/>
      <c r="F371" s="309"/>
      <c r="G371" s="309"/>
      <c r="H371" s="309"/>
      <c r="I371" s="309"/>
    </row>
    <row r="372">
      <c r="D372" s="309"/>
      <c r="E372" s="309"/>
      <c r="F372" s="309"/>
      <c r="G372" s="309"/>
      <c r="H372" s="309"/>
      <c r="I372" s="309"/>
    </row>
    <row r="373">
      <c r="D373" s="309"/>
      <c r="E373" s="309"/>
      <c r="F373" s="309"/>
      <c r="G373" s="309"/>
      <c r="H373" s="309"/>
      <c r="I373" s="309"/>
    </row>
    <row r="374">
      <c r="D374" s="309"/>
      <c r="E374" s="309"/>
      <c r="F374" s="309"/>
      <c r="G374" s="309"/>
      <c r="H374" s="309"/>
      <c r="I374" s="309"/>
    </row>
    <row r="375">
      <c r="D375" s="309"/>
      <c r="E375" s="309"/>
      <c r="F375" s="309"/>
      <c r="G375" s="309"/>
      <c r="H375" s="309"/>
      <c r="I375" s="309"/>
    </row>
    <row r="376">
      <c r="D376" s="309"/>
      <c r="E376" s="309"/>
      <c r="F376" s="309"/>
      <c r="G376" s="309"/>
      <c r="H376" s="309"/>
      <c r="I376" s="309"/>
    </row>
    <row r="377">
      <c r="D377" s="309"/>
      <c r="E377" s="309"/>
      <c r="F377" s="309"/>
      <c r="G377" s="309"/>
      <c r="H377" s="309"/>
      <c r="I377" s="309"/>
    </row>
    <row r="378">
      <c r="D378" s="309"/>
      <c r="E378" s="309"/>
      <c r="F378" s="309"/>
      <c r="G378" s="309"/>
      <c r="H378" s="309"/>
      <c r="I378" s="309"/>
    </row>
    <row r="379">
      <c r="D379" s="309"/>
      <c r="E379" s="309"/>
      <c r="F379" s="309"/>
      <c r="G379" s="309"/>
      <c r="H379" s="309"/>
      <c r="I379" s="309"/>
    </row>
    <row r="380">
      <c r="D380" s="309"/>
      <c r="E380" s="309"/>
      <c r="F380" s="309"/>
      <c r="G380" s="309"/>
      <c r="H380" s="309"/>
      <c r="I380" s="309"/>
    </row>
    <row r="381">
      <c r="D381" s="309"/>
      <c r="E381" s="309"/>
      <c r="F381" s="309"/>
      <c r="G381" s="309"/>
      <c r="H381" s="309"/>
      <c r="I381" s="309"/>
    </row>
    <row r="382">
      <c r="D382" s="309"/>
      <c r="E382" s="309"/>
      <c r="F382" s="309"/>
      <c r="G382" s="309"/>
      <c r="H382" s="309"/>
      <c r="I382" s="309"/>
    </row>
    <row r="383">
      <c r="D383" s="309"/>
      <c r="E383" s="309"/>
      <c r="F383" s="309"/>
      <c r="G383" s="309"/>
      <c r="H383" s="309"/>
      <c r="I383" s="309"/>
    </row>
    <row r="384">
      <c r="D384" s="309"/>
      <c r="E384" s="309"/>
      <c r="F384" s="309"/>
      <c r="G384" s="309"/>
      <c r="H384" s="309"/>
      <c r="I384" s="309"/>
    </row>
    <row r="385">
      <c r="D385" s="309"/>
      <c r="E385" s="309"/>
      <c r="F385" s="309"/>
      <c r="G385" s="309"/>
      <c r="H385" s="309"/>
      <c r="I385" s="309"/>
    </row>
    <row r="386">
      <c r="D386" s="309"/>
      <c r="E386" s="309"/>
      <c r="F386" s="309"/>
      <c r="G386" s="309"/>
      <c r="H386" s="309"/>
      <c r="I386" s="309"/>
    </row>
    <row r="387">
      <c r="D387" s="309"/>
      <c r="E387" s="309"/>
      <c r="F387" s="309"/>
      <c r="G387" s="309"/>
      <c r="H387" s="309"/>
      <c r="I387" s="309"/>
    </row>
    <row r="388">
      <c r="D388" s="309"/>
      <c r="E388" s="309"/>
      <c r="F388" s="309"/>
      <c r="G388" s="309"/>
      <c r="H388" s="309"/>
      <c r="I388" s="309"/>
    </row>
    <row r="389">
      <c r="D389" s="309"/>
      <c r="E389" s="309"/>
      <c r="F389" s="309"/>
      <c r="G389" s="309"/>
      <c r="H389" s="309"/>
      <c r="I389" s="309"/>
    </row>
    <row r="390">
      <c r="D390" s="309"/>
      <c r="E390" s="309"/>
      <c r="F390" s="309"/>
      <c r="G390" s="309"/>
      <c r="H390" s="309"/>
      <c r="I390" s="309"/>
    </row>
    <row r="391">
      <c r="D391" s="309"/>
      <c r="E391" s="309"/>
      <c r="F391" s="309"/>
      <c r="G391" s="309"/>
      <c r="H391" s="309"/>
      <c r="I391" s="309"/>
    </row>
    <row r="392">
      <c r="D392" s="309"/>
      <c r="E392" s="309"/>
      <c r="F392" s="309"/>
      <c r="G392" s="309"/>
      <c r="H392" s="309"/>
      <c r="I392" s="309"/>
    </row>
    <row r="393">
      <c r="D393" s="309"/>
      <c r="E393" s="309"/>
      <c r="F393" s="309"/>
      <c r="G393" s="309"/>
      <c r="H393" s="309"/>
      <c r="I393" s="309"/>
    </row>
    <row r="394">
      <c r="D394" s="309"/>
      <c r="E394" s="309"/>
      <c r="F394" s="309"/>
      <c r="G394" s="309"/>
      <c r="H394" s="309"/>
      <c r="I394" s="309"/>
    </row>
    <row r="395">
      <c r="D395" s="309"/>
      <c r="E395" s="309"/>
      <c r="F395" s="309"/>
      <c r="G395" s="309"/>
      <c r="H395" s="309"/>
      <c r="I395" s="309"/>
    </row>
    <row r="396">
      <c r="D396" s="309"/>
      <c r="E396" s="309"/>
      <c r="F396" s="309"/>
      <c r="G396" s="309"/>
      <c r="H396" s="309"/>
      <c r="I396" s="309"/>
    </row>
    <row r="397">
      <c r="D397" s="309"/>
      <c r="E397" s="309"/>
      <c r="F397" s="309"/>
      <c r="G397" s="309"/>
      <c r="H397" s="309"/>
      <c r="I397" s="309"/>
    </row>
    <row r="398">
      <c r="D398" s="309"/>
      <c r="E398" s="309"/>
      <c r="F398" s="309"/>
      <c r="G398" s="309"/>
      <c r="H398" s="309"/>
      <c r="I398" s="309"/>
    </row>
    <row r="399">
      <c r="D399" s="309"/>
      <c r="E399" s="309"/>
      <c r="F399" s="309"/>
      <c r="G399" s="309"/>
      <c r="H399" s="309"/>
      <c r="I399" s="309"/>
    </row>
    <row r="400">
      <c r="D400" s="309"/>
      <c r="E400" s="309"/>
      <c r="F400" s="309"/>
      <c r="G400" s="309"/>
      <c r="H400" s="309"/>
      <c r="I400" s="309"/>
    </row>
    <row r="401">
      <c r="D401" s="309"/>
      <c r="E401" s="309"/>
      <c r="F401" s="309"/>
      <c r="G401" s="309"/>
      <c r="H401" s="309"/>
      <c r="I401" s="309"/>
    </row>
    <row r="402">
      <c r="D402" s="309"/>
      <c r="E402" s="309"/>
      <c r="F402" s="309"/>
      <c r="G402" s="309"/>
      <c r="H402" s="309"/>
      <c r="I402" s="309"/>
    </row>
    <row r="403">
      <c r="D403" s="309"/>
      <c r="E403" s="309"/>
      <c r="F403" s="309"/>
      <c r="G403" s="309"/>
      <c r="H403" s="309"/>
      <c r="I403" s="309"/>
    </row>
    <row r="404">
      <c r="D404" s="309"/>
      <c r="E404" s="309"/>
      <c r="F404" s="309"/>
      <c r="G404" s="309"/>
      <c r="H404" s="309"/>
      <c r="I404" s="309"/>
    </row>
    <row r="405">
      <c r="D405" s="309"/>
      <c r="E405" s="309"/>
      <c r="F405" s="309"/>
      <c r="G405" s="309"/>
      <c r="H405" s="309"/>
      <c r="I405" s="309"/>
    </row>
    <row r="406">
      <c r="D406" s="309"/>
      <c r="E406" s="309"/>
      <c r="F406" s="309"/>
      <c r="G406" s="309"/>
      <c r="H406" s="309"/>
      <c r="I406" s="309"/>
    </row>
    <row r="407">
      <c r="D407" s="309"/>
      <c r="E407" s="309"/>
      <c r="F407" s="309"/>
      <c r="G407" s="309"/>
      <c r="H407" s="309"/>
      <c r="I407" s="309"/>
    </row>
    <row r="408">
      <c r="D408" s="309"/>
      <c r="E408" s="309"/>
      <c r="F408" s="309"/>
      <c r="G408" s="309"/>
      <c r="H408" s="309"/>
      <c r="I408" s="309"/>
    </row>
    <row r="409">
      <c r="D409" s="309"/>
      <c r="E409" s="309"/>
      <c r="F409" s="309"/>
      <c r="G409" s="309"/>
      <c r="H409" s="309"/>
      <c r="I409" s="309"/>
    </row>
    <row r="410">
      <c r="D410" s="309"/>
      <c r="E410" s="309"/>
      <c r="F410" s="309"/>
      <c r="G410" s="309"/>
      <c r="H410" s="309"/>
      <c r="I410" s="309"/>
    </row>
    <row r="411">
      <c r="D411" s="309"/>
      <c r="E411" s="309"/>
      <c r="F411" s="309"/>
      <c r="G411" s="309"/>
      <c r="H411" s="309"/>
      <c r="I411" s="309"/>
    </row>
    <row r="412">
      <c r="D412" s="309"/>
      <c r="E412" s="309"/>
      <c r="F412" s="309"/>
      <c r="G412" s="309"/>
      <c r="H412" s="309"/>
      <c r="I412" s="309"/>
    </row>
    <row r="413">
      <c r="D413" s="309"/>
      <c r="E413" s="309"/>
      <c r="F413" s="309"/>
      <c r="G413" s="309"/>
      <c r="H413" s="309"/>
      <c r="I413" s="309"/>
    </row>
    <row r="414">
      <c r="D414" s="309"/>
      <c r="E414" s="309"/>
      <c r="F414" s="309"/>
      <c r="G414" s="309"/>
      <c r="H414" s="309"/>
      <c r="I414" s="309"/>
    </row>
    <row r="415">
      <c r="D415" s="309"/>
      <c r="E415" s="309"/>
      <c r="F415" s="309"/>
      <c r="G415" s="309"/>
      <c r="H415" s="309"/>
      <c r="I415" s="309"/>
    </row>
    <row r="416">
      <c r="D416" s="309"/>
      <c r="E416" s="309"/>
      <c r="F416" s="309"/>
      <c r="G416" s="309"/>
      <c r="H416" s="309"/>
      <c r="I416" s="309"/>
    </row>
    <row r="417">
      <c r="D417" s="309"/>
      <c r="E417" s="309"/>
      <c r="F417" s="309"/>
      <c r="G417" s="309"/>
      <c r="H417" s="309"/>
      <c r="I417" s="309"/>
    </row>
    <row r="418">
      <c r="D418" s="309"/>
      <c r="E418" s="309"/>
      <c r="F418" s="309"/>
      <c r="G418" s="309"/>
      <c r="H418" s="309"/>
      <c r="I418" s="309"/>
    </row>
    <row r="419">
      <c r="D419" s="309"/>
      <c r="E419" s="309"/>
      <c r="F419" s="309"/>
      <c r="G419" s="309"/>
      <c r="H419" s="309"/>
      <c r="I419" s="309"/>
    </row>
    <row r="420">
      <c r="D420" s="309"/>
      <c r="E420" s="309"/>
      <c r="F420" s="309"/>
      <c r="G420" s="309"/>
      <c r="H420" s="309"/>
      <c r="I420" s="309"/>
    </row>
    <row r="421">
      <c r="D421" s="309"/>
      <c r="E421" s="309"/>
      <c r="F421" s="309"/>
      <c r="G421" s="309"/>
      <c r="H421" s="309"/>
      <c r="I421" s="309"/>
    </row>
    <row r="422">
      <c r="D422" s="309"/>
      <c r="E422" s="309"/>
      <c r="F422" s="309"/>
      <c r="G422" s="309"/>
      <c r="H422" s="309"/>
      <c r="I422" s="309"/>
    </row>
    <row r="423">
      <c r="D423" s="309"/>
      <c r="E423" s="309"/>
      <c r="F423" s="309"/>
      <c r="G423" s="309"/>
      <c r="H423" s="309"/>
      <c r="I423" s="309"/>
    </row>
    <row r="424">
      <c r="D424" s="309"/>
      <c r="E424" s="309"/>
      <c r="F424" s="309"/>
      <c r="G424" s="309"/>
      <c r="H424" s="309"/>
      <c r="I424" s="309"/>
    </row>
    <row r="425">
      <c r="D425" s="309"/>
      <c r="E425" s="309"/>
      <c r="F425" s="309"/>
      <c r="G425" s="309"/>
      <c r="H425" s="309"/>
      <c r="I425" s="309"/>
    </row>
    <row r="426">
      <c r="D426" s="309"/>
      <c r="E426" s="309"/>
      <c r="F426" s="309"/>
      <c r="G426" s="309"/>
      <c r="H426" s="309"/>
      <c r="I426" s="309"/>
    </row>
    <row r="427">
      <c r="D427" s="309"/>
      <c r="E427" s="309"/>
      <c r="F427" s="309"/>
      <c r="G427" s="309"/>
      <c r="H427" s="309"/>
      <c r="I427" s="309"/>
    </row>
    <row r="428">
      <c r="D428" s="309"/>
      <c r="E428" s="309"/>
      <c r="F428" s="309"/>
      <c r="G428" s="309"/>
      <c r="H428" s="309"/>
      <c r="I428" s="309"/>
    </row>
    <row r="429">
      <c r="D429" s="309"/>
      <c r="E429" s="309"/>
      <c r="F429" s="309"/>
      <c r="G429" s="309"/>
      <c r="H429" s="309"/>
      <c r="I429" s="309"/>
    </row>
    <row r="430">
      <c r="D430" s="309"/>
      <c r="E430" s="309"/>
      <c r="F430" s="309"/>
      <c r="G430" s="309"/>
      <c r="H430" s="309"/>
      <c r="I430" s="309"/>
    </row>
    <row r="431">
      <c r="D431" s="309"/>
      <c r="E431" s="309"/>
      <c r="F431" s="309"/>
      <c r="G431" s="309"/>
      <c r="H431" s="309"/>
      <c r="I431" s="309"/>
    </row>
    <row r="432">
      <c r="D432" s="309"/>
      <c r="E432" s="309"/>
      <c r="F432" s="309"/>
      <c r="G432" s="309"/>
      <c r="H432" s="309"/>
      <c r="I432" s="309"/>
    </row>
    <row r="433">
      <c r="D433" s="309"/>
      <c r="E433" s="309"/>
      <c r="F433" s="309"/>
      <c r="G433" s="309"/>
      <c r="H433" s="309"/>
      <c r="I433" s="309"/>
    </row>
    <row r="434">
      <c r="D434" s="309"/>
      <c r="E434" s="309"/>
      <c r="F434" s="309"/>
      <c r="G434" s="309"/>
      <c r="H434" s="309"/>
      <c r="I434" s="309"/>
    </row>
    <row r="435">
      <c r="D435" s="309"/>
      <c r="E435" s="309"/>
      <c r="F435" s="309"/>
      <c r="G435" s="309"/>
      <c r="H435" s="309"/>
      <c r="I435" s="309"/>
    </row>
    <row r="436">
      <c r="D436" s="309"/>
      <c r="E436" s="309"/>
      <c r="F436" s="309"/>
      <c r="G436" s="309"/>
      <c r="H436" s="309"/>
      <c r="I436" s="309"/>
    </row>
    <row r="437">
      <c r="D437" s="309"/>
      <c r="E437" s="309"/>
      <c r="F437" s="309"/>
      <c r="G437" s="309"/>
      <c r="H437" s="309"/>
      <c r="I437" s="309"/>
    </row>
    <row r="438">
      <c r="D438" s="309"/>
      <c r="E438" s="309"/>
      <c r="F438" s="309"/>
      <c r="G438" s="309"/>
      <c r="H438" s="309"/>
      <c r="I438" s="309"/>
    </row>
    <row r="439">
      <c r="D439" s="309"/>
      <c r="E439" s="309"/>
      <c r="F439" s="309"/>
      <c r="G439" s="309"/>
      <c r="H439" s="309"/>
      <c r="I439" s="309"/>
    </row>
    <row r="440">
      <c r="D440" s="309"/>
      <c r="E440" s="309"/>
      <c r="F440" s="309"/>
      <c r="G440" s="309"/>
      <c r="H440" s="309"/>
      <c r="I440" s="309"/>
    </row>
    <row r="441">
      <c r="D441" s="309"/>
      <c r="E441" s="309"/>
      <c r="F441" s="309"/>
      <c r="G441" s="309"/>
      <c r="H441" s="309"/>
      <c r="I441" s="309"/>
    </row>
    <row r="442">
      <c r="D442" s="309"/>
      <c r="E442" s="309"/>
      <c r="F442" s="309"/>
      <c r="G442" s="309"/>
      <c r="H442" s="309"/>
      <c r="I442" s="309"/>
    </row>
    <row r="443">
      <c r="D443" s="309"/>
      <c r="E443" s="309"/>
      <c r="F443" s="309"/>
      <c r="G443" s="309"/>
      <c r="H443" s="309"/>
      <c r="I443" s="309"/>
    </row>
    <row r="444">
      <c r="D444" s="309"/>
      <c r="E444" s="309"/>
      <c r="F444" s="309"/>
      <c r="G444" s="309"/>
      <c r="H444" s="309"/>
      <c r="I444" s="309"/>
    </row>
    <row r="445">
      <c r="D445" s="309"/>
      <c r="E445" s="309"/>
      <c r="F445" s="309"/>
      <c r="G445" s="309"/>
      <c r="H445" s="309"/>
      <c r="I445" s="309"/>
    </row>
    <row r="446">
      <c r="D446" s="309"/>
      <c r="E446" s="309"/>
      <c r="F446" s="309"/>
      <c r="G446" s="309"/>
      <c r="H446" s="309"/>
      <c r="I446" s="309"/>
    </row>
    <row r="447">
      <c r="D447" s="309"/>
      <c r="E447" s="309"/>
      <c r="F447" s="309"/>
      <c r="G447" s="309"/>
      <c r="H447" s="309"/>
      <c r="I447" s="309"/>
    </row>
    <row r="448">
      <c r="D448" s="309"/>
      <c r="E448" s="309"/>
      <c r="F448" s="309"/>
      <c r="G448" s="309"/>
      <c r="H448" s="309"/>
      <c r="I448" s="309"/>
    </row>
    <row r="449">
      <c r="D449" s="309"/>
      <c r="E449" s="309"/>
      <c r="F449" s="309"/>
      <c r="G449" s="309"/>
      <c r="H449" s="309"/>
      <c r="I449" s="309"/>
    </row>
    <row r="450">
      <c r="D450" s="309"/>
      <c r="E450" s="309"/>
      <c r="F450" s="309"/>
      <c r="G450" s="309"/>
      <c r="H450" s="309"/>
      <c r="I450" s="309"/>
    </row>
    <row r="451">
      <c r="D451" s="309"/>
      <c r="E451" s="309"/>
      <c r="F451" s="309"/>
      <c r="G451" s="309"/>
      <c r="H451" s="309"/>
      <c r="I451" s="309"/>
    </row>
    <row r="452">
      <c r="D452" s="309"/>
      <c r="E452" s="309"/>
      <c r="F452" s="309"/>
      <c r="G452" s="309"/>
      <c r="H452" s="309"/>
      <c r="I452" s="309"/>
    </row>
    <row r="453">
      <c r="D453" s="309"/>
      <c r="E453" s="309"/>
      <c r="F453" s="309"/>
      <c r="G453" s="309"/>
      <c r="H453" s="309"/>
      <c r="I453" s="309"/>
    </row>
    <row r="454">
      <c r="D454" s="309"/>
      <c r="E454" s="309"/>
      <c r="F454" s="309"/>
      <c r="G454" s="309"/>
      <c r="H454" s="309"/>
      <c r="I454" s="309"/>
    </row>
    <row r="455">
      <c r="D455" s="309"/>
      <c r="E455" s="309"/>
      <c r="F455" s="309"/>
      <c r="G455" s="309"/>
      <c r="H455" s="309"/>
      <c r="I455" s="309"/>
    </row>
    <row r="456">
      <c r="D456" s="309"/>
      <c r="E456" s="309"/>
      <c r="F456" s="309"/>
      <c r="G456" s="309"/>
      <c r="H456" s="309"/>
      <c r="I456" s="309"/>
    </row>
    <row r="457">
      <c r="D457" s="309"/>
      <c r="E457" s="309"/>
      <c r="F457" s="309"/>
      <c r="G457" s="309"/>
      <c r="H457" s="309"/>
      <c r="I457" s="309"/>
    </row>
    <row r="458">
      <c r="D458" s="309"/>
      <c r="E458" s="309"/>
      <c r="F458" s="309"/>
      <c r="G458" s="309"/>
      <c r="H458" s="309"/>
      <c r="I458" s="309"/>
    </row>
    <row r="459">
      <c r="D459" s="309"/>
      <c r="E459" s="309"/>
      <c r="F459" s="309"/>
      <c r="G459" s="309"/>
      <c r="H459" s="309"/>
      <c r="I459" s="309"/>
    </row>
    <row r="460">
      <c r="D460" s="309"/>
      <c r="E460" s="309"/>
      <c r="F460" s="309"/>
      <c r="G460" s="309"/>
      <c r="H460" s="309"/>
      <c r="I460" s="309"/>
    </row>
    <row r="461">
      <c r="D461" s="309"/>
      <c r="E461" s="309"/>
      <c r="F461" s="309"/>
      <c r="G461" s="309"/>
      <c r="H461" s="309"/>
      <c r="I461" s="309"/>
    </row>
    <row r="462">
      <c r="D462" s="309"/>
      <c r="E462" s="309"/>
      <c r="F462" s="309"/>
      <c r="G462" s="309"/>
      <c r="H462" s="309"/>
      <c r="I462" s="309"/>
    </row>
    <row r="463">
      <c r="D463" s="309"/>
      <c r="E463" s="309"/>
      <c r="F463" s="309"/>
      <c r="G463" s="309"/>
      <c r="H463" s="309"/>
      <c r="I463" s="309"/>
    </row>
    <row r="464">
      <c r="D464" s="309"/>
      <c r="E464" s="309"/>
      <c r="F464" s="309"/>
      <c r="G464" s="309"/>
      <c r="H464" s="309"/>
      <c r="I464" s="309"/>
    </row>
    <row r="465">
      <c r="D465" s="309"/>
      <c r="E465" s="309"/>
      <c r="F465" s="309"/>
      <c r="G465" s="309"/>
      <c r="H465" s="309"/>
      <c r="I465" s="309"/>
    </row>
    <row r="466">
      <c r="D466" s="309"/>
      <c r="E466" s="309"/>
      <c r="F466" s="309"/>
      <c r="G466" s="309"/>
      <c r="H466" s="309"/>
      <c r="I466" s="309"/>
    </row>
    <row r="467">
      <c r="D467" s="309"/>
      <c r="E467" s="309"/>
      <c r="F467" s="309"/>
      <c r="G467" s="309"/>
      <c r="H467" s="309"/>
      <c r="I467" s="309"/>
    </row>
    <row r="468">
      <c r="D468" s="309"/>
      <c r="E468" s="309"/>
      <c r="F468" s="309"/>
      <c r="G468" s="309"/>
      <c r="H468" s="309"/>
      <c r="I468" s="309"/>
    </row>
    <row r="469">
      <c r="D469" s="309"/>
      <c r="E469" s="309"/>
      <c r="F469" s="309"/>
      <c r="G469" s="309"/>
      <c r="H469" s="309"/>
      <c r="I469" s="309"/>
    </row>
    <row r="470">
      <c r="D470" s="309"/>
      <c r="E470" s="309"/>
      <c r="F470" s="309"/>
      <c r="G470" s="309"/>
      <c r="H470" s="309"/>
      <c r="I470" s="309"/>
    </row>
    <row r="471">
      <c r="D471" s="309"/>
      <c r="E471" s="309"/>
      <c r="F471" s="309"/>
      <c r="G471" s="309"/>
      <c r="H471" s="309"/>
      <c r="I471" s="309"/>
    </row>
    <row r="472">
      <c r="D472" s="309"/>
      <c r="E472" s="309"/>
      <c r="F472" s="309"/>
      <c r="G472" s="309"/>
      <c r="H472" s="309"/>
      <c r="I472" s="309"/>
    </row>
    <row r="473">
      <c r="D473" s="309"/>
      <c r="E473" s="309"/>
      <c r="F473" s="309"/>
      <c r="G473" s="309"/>
      <c r="H473" s="309"/>
      <c r="I473" s="309"/>
    </row>
    <row r="474">
      <c r="D474" s="309"/>
      <c r="E474" s="309"/>
      <c r="F474" s="309"/>
      <c r="G474" s="309"/>
      <c r="H474" s="309"/>
      <c r="I474" s="309"/>
    </row>
    <row r="475">
      <c r="D475" s="309"/>
      <c r="E475" s="309"/>
      <c r="F475" s="309"/>
      <c r="G475" s="309"/>
      <c r="H475" s="309"/>
      <c r="I475" s="309"/>
    </row>
    <row r="476">
      <c r="D476" s="309"/>
      <c r="E476" s="309"/>
      <c r="F476" s="309"/>
      <c r="G476" s="309"/>
      <c r="H476" s="309"/>
      <c r="I476" s="309"/>
    </row>
    <row r="477">
      <c r="D477" s="309"/>
      <c r="E477" s="309"/>
      <c r="F477" s="309"/>
      <c r="G477" s="309"/>
      <c r="H477" s="309"/>
      <c r="I477" s="309"/>
    </row>
    <row r="478">
      <c r="D478" s="309"/>
      <c r="E478" s="309"/>
      <c r="F478" s="309"/>
      <c r="G478" s="309"/>
      <c r="H478" s="309"/>
      <c r="I478" s="309"/>
    </row>
    <row r="479">
      <c r="D479" s="309"/>
      <c r="E479" s="309"/>
      <c r="F479" s="309"/>
      <c r="G479" s="309"/>
      <c r="H479" s="309"/>
      <c r="I479" s="309"/>
    </row>
    <row r="480">
      <c r="D480" s="309"/>
      <c r="E480" s="309"/>
      <c r="F480" s="309"/>
      <c r="G480" s="309"/>
      <c r="H480" s="309"/>
      <c r="I480" s="309"/>
    </row>
    <row r="481">
      <c r="D481" s="309"/>
      <c r="E481" s="309"/>
      <c r="F481" s="309"/>
      <c r="G481" s="309"/>
      <c r="H481" s="309"/>
      <c r="I481" s="309"/>
    </row>
    <row r="482">
      <c r="D482" s="309"/>
      <c r="E482" s="309"/>
      <c r="F482" s="309"/>
      <c r="G482" s="309"/>
      <c r="H482" s="309"/>
      <c r="I482" s="309"/>
    </row>
    <row r="483">
      <c r="D483" s="309"/>
      <c r="E483" s="309"/>
      <c r="F483" s="309"/>
      <c r="G483" s="309"/>
      <c r="H483" s="309"/>
      <c r="I483" s="309"/>
    </row>
    <row r="484">
      <c r="D484" s="309"/>
      <c r="E484" s="309"/>
      <c r="F484" s="309"/>
      <c r="G484" s="309"/>
      <c r="H484" s="309"/>
      <c r="I484" s="309"/>
    </row>
    <row r="485">
      <c r="D485" s="309"/>
      <c r="E485" s="309"/>
      <c r="F485" s="309"/>
      <c r="G485" s="309"/>
      <c r="H485" s="309"/>
      <c r="I485" s="309"/>
    </row>
    <row r="486">
      <c r="D486" s="309"/>
      <c r="E486" s="309"/>
      <c r="F486" s="309"/>
      <c r="G486" s="309"/>
      <c r="H486" s="309"/>
      <c r="I486" s="309"/>
    </row>
    <row r="487">
      <c r="D487" s="309"/>
      <c r="E487" s="309"/>
      <c r="F487" s="309"/>
      <c r="G487" s="309"/>
      <c r="H487" s="309"/>
      <c r="I487" s="309"/>
    </row>
    <row r="488">
      <c r="D488" s="309"/>
      <c r="E488" s="309"/>
      <c r="F488" s="309"/>
      <c r="G488" s="309"/>
      <c r="H488" s="309"/>
      <c r="I488" s="309"/>
    </row>
    <row r="489">
      <c r="D489" s="309"/>
      <c r="E489" s="309"/>
      <c r="F489" s="309"/>
      <c r="G489" s="309"/>
      <c r="H489" s="309"/>
      <c r="I489" s="309"/>
    </row>
    <row r="490">
      <c r="D490" s="309"/>
      <c r="E490" s="309"/>
      <c r="F490" s="309"/>
      <c r="G490" s="309"/>
      <c r="H490" s="309"/>
      <c r="I490" s="309"/>
    </row>
    <row r="491">
      <c r="D491" s="309"/>
      <c r="E491" s="309"/>
      <c r="F491" s="309"/>
      <c r="G491" s="309"/>
      <c r="H491" s="309"/>
      <c r="I491" s="309"/>
    </row>
    <row r="492">
      <c r="D492" s="309"/>
      <c r="E492" s="309"/>
      <c r="F492" s="309"/>
      <c r="G492" s="309"/>
      <c r="H492" s="309"/>
      <c r="I492" s="309"/>
    </row>
    <row r="493">
      <c r="D493" s="309"/>
      <c r="E493" s="309"/>
      <c r="F493" s="309"/>
      <c r="G493" s="309"/>
      <c r="H493" s="309"/>
      <c r="I493" s="309"/>
    </row>
    <row r="494">
      <c r="D494" s="309"/>
      <c r="E494" s="309"/>
      <c r="F494" s="309"/>
      <c r="G494" s="309"/>
      <c r="H494" s="309"/>
      <c r="I494" s="309"/>
    </row>
    <row r="495">
      <c r="D495" s="309"/>
      <c r="E495" s="309"/>
      <c r="F495" s="309"/>
      <c r="G495" s="309"/>
      <c r="H495" s="309"/>
      <c r="I495" s="309"/>
    </row>
    <row r="496">
      <c r="D496" s="309"/>
      <c r="E496" s="309"/>
      <c r="F496" s="309"/>
      <c r="G496" s="309"/>
      <c r="H496" s="309"/>
      <c r="I496" s="309"/>
    </row>
    <row r="497">
      <c r="D497" s="309"/>
      <c r="E497" s="309"/>
      <c r="F497" s="309"/>
      <c r="G497" s="309"/>
      <c r="H497" s="309"/>
      <c r="I497" s="309"/>
    </row>
    <row r="498">
      <c r="D498" s="309"/>
      <c r="E498" s="309"/>
      <c r="F498" s="309"/>
      <c r="G498" s="309"/>
      <c r="H498" s="309"/>
      <c r="I498" s="309"/>
    </row>
    <row r="499">
      <c r="D499" s="309"/>
      <c r="E499" s="309"/>
      <c r="F499" s="309"/>
      <c r="G499" s="309"/>
      <c r="H499" s="309"/>
      <c r="I499" s="309"/>
    </row>
    <row r="500">
      <c r="D500" s="309"/>
      <c r="E500" s="309"/>
      <c r="F500" s="309"/>
      <c r="G500" s="309"/>
      <c r="H500" s="309"/>
      <c r="I500" s="309"/>
    </row>
    <row r="501">
      <c r="D501" s="309"/>
      <c r="E501" s="309"/>
      <c r="F501" s="309"/>
      <c r="G501" s="309"/>
      <c r="H501" s="309"/>
      <c r="I501" s="309"/>
    </row>
    <row r="502">
      <c r="D502" s="309"/>
      <c r="E502" s="309"/>
      <c r="F502" s="309"/>
      <c r="G502" s="309"/>
      <c r="H502" s="309"/>
      <c r="I502" s="309"/>
    </row>
    <row r="503">
      <c r="D503" s="309"/>
      <c r="E503" s="309"/>
      <c r="F503" s="309"/>
      <c r="G503" s="309"/>
      <c r="H503" s="309"/>
      <c r="I503" s="309"/>
    </row>
    <row r="504">
      <c r="D504" s="309"/>
      <c r="E504" s="309"/>
      <c r="F504" s="309"/>
      <c r="G504" s="309"/>
      <c r="H504" s="309"/>
      <c r="I504" s="309"/>
    </row>
    <row r="505">
      <c r="D505" s="309"/>
      <c r="E505" s="309"/>
      <c r="F505" s="309"/>
      <c r="G505" s="309"/>
      <c r="H505" s="309"/>
      <c r="I505" s="309"/>
    </row>
    <row r="506">
      <c r="D506" s="309"/>
      <c r="E506" s="309"/>
      <c r="F506" s="309"/>
      <c r="G506" s="309"/>
      <c r="H506" s="309"/>
      <c r="I506" s="309"/>
    </row>
    <row r="507">
      <c r="D507" s="309"/>
      <c r="E507" s="309"/>
      <c r="F507" s="309"/>
      <c r="G507" s="309"/>
      <c r="H507" s="309"/>
      <c r="I507" s="309"/>
    </row>
    <row r="508">
      <c r="D508" s="309"/>
      <c r="E508" s="309"/>
      <c r="F508" s="309"/>
      <c r="G508" s="309"/>
      <c r="H508" s="309"/>
      <c r="I508" s="309"/>
    </row>
    <row r="509">
      <c r="D509" s="309"/>
      <c r="E509" s="309"/>
      <c r="F509" s="309"/>
      <c r="G509" s="309"/>
      <c r="H509" s="309"/>
      <c r="I509" s="309"/>
    </row>
    <row r="510">
      <c r="D510" s="309"/>
      <c r="E510" s="309"/>
      <c r="F510" s="309"/>
      <c r="G510" s="309"/>
      <c r="H510" s="309"/>
      <c r="I510" s="309"/>
    </row>
    <row r="511">
      <c r="D511" s="309"/>
      <c r="E511" s="309"/>
      <c r="F511" s="309"/>
      <c r="G511" s="309"/>
      <c r="H511" s="309"/>
      <c r="I511" s="309"/>
    </row>
    <row r="512">
      <c r="D512" s="309"/>
      <c r="E512" s="309"/>
      <c r="F512" s="309"/>
      <c r="G512" s="309"/>
      <c r="H512" s="309"/>
      <c r="I512" s="309"/>
    </row>
    <row r="513">
      <c r="D513" s="309"/>
      <c r="E513" s="309"/>
      <c r="F513" s="309"/>
      <c r="G513" s="309"/>
      <c r="H513" s="309"/>
      <c r="I513" s="309"/>
    </row>
    <row r="514">
      <c r="D514" s="309"/>
      <c r="E514" s="309"/>
      <c r="F514" s="309"/>
      <c r="G514" s="309"/>
      <c r="H514" s="309"/>
      <c r="I514" s="309"/>
    </row>
    <row r="515">
      <c r="D515" s="309"/>
      <c r="E515" s="309"/>
      <c r="F515" s="309"/>
      <c r="G515" s="309"/>
      <c r="H515" s="309"/>
      <c r="I515" s="309"/>
    </row>
    <row r="516">
      <c r="D516" s="309"/>
      <c r="E516" s="309"/>
      <c r="F516" s="309"/>
      <c r="G516" s="309"/>
      <c r="H516" s="309"/>
      <c r="I516" s="309"/>
    </row>
    <row r="517">
      <c r="D517" s="309"/>
      <c r="E517" s="309"/>
      <c r="F517" s="309"/>
      <c r="G517" s="309"/>
      <c r="H517" s="309"/>
      <c r="I517" s="309"/>
    </row>
    <row r="518">
      <c r="D518" s="309"/>
      <c r="E518" s="309"/>
      <c r="F518" s="309"/>
      <c r="G518" s="309"/>
      <c r="H518" s="309"/>
      <c r="I518" s="309"/>
    </row>
    <row r="519">
      <c r="D519" s="309"/>
      <c r="E519" s="309"/>
      <c r="F519" s="309"/>
      <c r="G519" s="309"/>
      <c r="H519" s="309"/>
      <c r="I519" s="309"/>
    </row>
    <row r="520">
      <c r="D520" s="309"/>
      <c r="E520" s="309"/>
      <c r="F520" s="309"/>
      <c r="G520" s="309"/>
      <c r="H520" s="309"/>
      <c r="I520" s="309"/>
    </row>
    <row r="521">
      <c r="D521" s="309"/>
      <c r="E521" s="309"/>
      <c r="F521" s="309"/>
      <c r="G521" s="309"/>
      <c r="H521" s="309"/>
      <c r="I521" s="309"/>
    </row>
    <row r="522">
      <c r="D522" s="309"/>
      <c r="E522" s="309"/>
      <c r="F522" s="309"/>
      <c r="G522" s="309"/>
      <c r="H522" s="309"/>
      <c r="I522" s="309"/>
    </row>
    <row r="523">
      <c r="D523" s="309"/>
      <c r="E523" s="309"/>
      <c r="F523" s="309"/>
      <c r="G523" s="309"/>
      <c r="H523" s="309"/>
      <c r="I523" s="309"/>
    </row>
    <row r="524">
      <c r="D524" s="309"/>
      <c r="E524" s="309"/>
      <c r="F524" s="309"/>
      <c r="G524" s="309"/>
      <c r="H524" s="309"/>
      <c r="I524" s="309"/>
    </row>
    <row r="525">
      <c r="D525" s="309"/>
      <c r="E525" s="309"/>
      <c r="F525" s="309"/>
      <c r="G525" s="309"/>
      <c r="H525" s="309"/>
      <c r="I525" s="309"/>
    </row>
    <row r="526">
      <c r="D526" s="309"/>
      <c r="E526" s="309"/>
      <c r="F526" s="309"/>
      <c r="G526" s="309"/>
      <c r="H526" s="309"/>
      <c r="I526" s="309"/>
    </row>
    <row r="527">
      <c r="D527" s="309"/>
      <c r="E527" s="309"/>
      <c r="F527" s="309"/>
      <c r="G527" s="309"/>
      <c r="H527" s="309"/>
      <c r="I527" s="309"/>
    </row>
    <row r="528">
      <c r="D528" s="309"/>
      <c r="E528" s="309"/>
      <c r="F528" s="309"/>
      <c r="G528" s="309"/>
      <c r="H528" s="309"/>
      <c r="I528" s="309"/>
    </row>
    <row r="529">
      <c r="D529" s="309"/>
      <c r="E529" s="309"/>
      <c r="F529" s="309"/>
      <c r="G529" s="309"/>
      <c r="H529" s="309"/>
      <c r="I529" s="309"/>
    </row>
    <row r="530">
      <c r="D530" s="309"/>
      <c r="E530" s="309"/>
      <c r="F530" s="309"/>
      <c r="G530" s="309"/>
      <c r="H530" s="309"/>
      <c r="I530" s="309"/>
    </row>
    <row r="531">
      <c r="D531" s="309"/>
      <c r="E531" s="309"/>
      <c r="F531" s="309"/>
      <c r="G531" s="309"/>
      <c r="H531" s="309"/>
      <c r="I531" s="309"/>
    </row>
    <row r="532">
      <c r="D532" s="309"/>
      <c r="E532" s="309"/>
      <c r="F532" s="309"/>
      <c r="G532" s="309"/>
      <c r="H532" s="309"/>
      <c r="I532" s="309"/>
    </row>
    <row r="533">
      <c r="D533" s="309"/>
      <c r="E533" s="309"/>
      <c r="F533" s="309"/>
      <c r="G533" s="309"/>
      <c r="H533" s="309"/>
      <c r="I533" s="309"/>
    </row>
    <row r="534">
      <c r="D534" s="309"/>
      <c r="E534" s="309"/>
      <c r="F534" s="309"/>
      <c r="G534" s="309"/>
      <c r="H534" s="309"/>
      <c r="I534" s="309"/>
    </row>
    <row r="535">
      <c r="D535" s="309"/>
      <c r="E535" s="309"/>
      <c r="F535" s="309"/>
      <c r="G535" s="309"/>
      <c r="H535" s="309"/>
      <c r="I535" s="309"/>
    </row>
    <row r="536">
      <c r="D536" s="309"/>
      <c r="E536" s="309"/>
      <c r="F536" s="309"/>
      <c r="G536" s="309"/>
      <c r="H536" s="309"/>
      <c r="I536" s="309"/>
    </row>
    <row r="537">
      <c r="D537" s="309"/>
      <c r="E537" s="309"/>
      <c r="F537" s="309"/>
      <c r="G537" s="309"/>
      <c r="H537" s="309"/>
      <c r="I537" s="309"/>
    </row>
    <row r="538">
      <c r="D538" s="309"/>
      <c r="E538" s="309"/>
      <c r="F538" s="309"/>
      <c r="G538" s="309"/>
      <c r="H538" s="309"/>
      <c r="I538" s="309"/>
    </row>
    <row r="539">
      <c r="D539" s="309"/>
      <c r="E539" s="309"/>
      <c r="F539" s="309"/>
      <c r="G539" s="309"/>
      <c r="H539" s="309"/>
      <c r="I539" s="309"/>
    </row>
    <row r="540">
      <c r="D540" s="309"/>
      <c r="E540" s="309"/>
      <c r="F540" s="309"/>
      <c r="G540" s="309"/>
      <c r="H540" s="309"/>
      <c r="I540" s="309"/>
    </row>
    <row r="541">
      <c r="D541" s="309"/>
      <c r="E541" s="309"/>
      <c r="F541" s="309"/>
      <c r="G541" s="309"/>
      <c r="H541" s="309"/>
      <c r="I541" s="309"/>
    </row>
    <row r="542">
      <c r="D542" s="309"/>
      <c r="E542" s="309"/>
      <c r="F542" s="309"/>
      <c r="G542" s="309"/>
      <c r="H542" s="309"/>
      <c r="I542" s="309"/>
    </row>
    <row r="543">
      <c r="D543" s="309"/>
      <c r="E543" s="309"/>
      <c r="F543" s="309"/>
      <c r="G543" s="309"/>
      <c r="H543" s="309"/>
      <c r="I543" s="309"/>
    </row>
    <row r="544">
      <c r="D544" s="309"/>
      <c r="E544" s="309"/>
      <c r="F544" s="309"/>
      <c r="G544" s="309"/>
      <c r="H544" s="309"/>
      <c r="I544" s="309"/>
    </row>
    <row r="545">
      <c r="D545" s="309"/>
      <c r="E545" s="309"/>
      <c r="F545" s="309"/>
      <c r="G545" s="309"/>
      <c r="H545" s="309"/>
      <c r="I545" s="309"/>
    </row>
    <row r="546">
      <c r="D546" s="309"/>
      <c r="E546" s="309"/>
      <c r="F546" s="309"/>
      <c r="G546" s="309"/>
      <c r="H546" s="309"/>
      <c r="I546" s="309"/>
    </row>
    <row r="547">
      <c r="D547" s="309"/>
      <c r="E547" s="309"/>
      <c r="F547" s="309"/>
      <c r="G547" s="309"/>
      <c r="H547" s="309"/>
      <c r="I547" s="309"/>
    </row>
    <row r="548">
      <c r="D548" s="309"/>
      <c r="E548" s="309"/>
      <c r="F548" s="309"/>
      <c r="G548" s="309"/>
      <c r="H548" s="309"/>
      <c r="I548" s="309"/>
    </row>
    <row r="549">
      <c r="D549" s="309"/>
      <c r="E549" s="309"/>
      <c r="F549" s="309"/>
      <c r="G549" s="309"/>
      <c r="H549" s="309"/>
      <c r="I549" s="309"/>
    </row>
    <row r="550">
      <c r="D550" s="309"/>
      <c r="E550" s="309"/>
      <c r="F550" s="309"/>
      <c r="G550" s="309"/>
      <c r="H550" s="309"/>
      <c r="I550" s="309"/>
    </row>
    <row r="551">
      <c r="D551" s="309"/>
      <c r="E551" s="309"/>
      <c r="F551" s="309"/>
      <c r="G551" s="309"/>
      <c r="H551" s="309"/>
      <c r="I551" s="309"/>
    </row>
    <row r="552">
      <c r="D552" s="309"/>
      <c r="E552" s="309"/>
      <c r="F552" s="309"/>
      <c r="G552" s="309"/>
      <c r="H552" s="309"/>
      <c r="I552" s="309"/>
    </row>
    <row r="553">
      <c r="D553" s="309"/>
      <c r="E553" s="309"/>
      <c r="F553" s="309"/>
      <c r="G553" s="309"/>
      <c r="H553" s="309"/>
      <c r="I553" s="309"/>
    </row>
    <row r="554">
      <c r="D554" s="309"/>
      <c r="E554" s="309"/>
      <c r="F554" s="309"/>
      <c r="G554" s="309"/>
      <c r="H554" s="309"/>
      <c r="I554" s="309"/>
    </row>
    <row r="555">
      <c r="D555" s="309"/>
      <c r="E555" s="309"/>
      <c r="F555" s="309"/>
      <c r="G555" s="309"/>
      <c r="H555" s="309"/>
      <c r="I555" s="309"/>
    </row>
    <row r="556">
      <c r="D556" s="309"/>
      <c r="E556" s="309"/>
      <c r="F556" s="309"/>
      <c r="G556" s="309"/>
      <c r="H556" s="309"/>
      <c r="I556" s="309"/>
    </row>
    <row r="557">
      <c r="D557" s="309"/>
      <c r="E557" s="309"/>
      <c r="F557" s="309"/>
      <c r="G557" s="309"/>
      <c r="H557" s="309"/>
      <c r="I557" s="309"/>
    </row>
    <row r="558">
      <c r="D558" s="309"/>
      <c r="E558" s="309"/>
      <c r="F558" s="309"/>
      <c r="G558" s="309"/>
      <c r="H558" s="309"/>
      <c r="I558" s="309"/>
    </row>
    <row r="559">
      <c r="D559" s="309"/>
      <c r="E559" s="309"/>
      <c r="F559" s="309"/>
      <c r="G559" s="309"/>
      <c r="H559" s="309"/>
      <c r="I559" s="309"/>
    </row>
    <row r="560">
      <c r="D560" s="309"/>
      <c r="E560" s="309"/>
      <c r="F560" s="309"/>
      <c r="G560" s="309"/>
      <c r="H560" s="309"/>
      <c r="I560" s="309"/>
    </row>
    <row r="561">
      <c r="D561" s="309"/>
      <c r="E561" s="309"/>
      <c r="F561" s="309"/>
      <c r="G561" s="309"/>
      <c r="H561" s="309"/>
      <c r="I561" s="309"/>
    </row>
    <row r="562">
      <c r="D562" s="309"/>
      <c r="E562" s="309"/>
      <c r="F562" s="309"/>
      <c r="G562" s="309"/>
      <c r="H562" s="309"/>
      <c r="I562" s="309"/>
    </row>
    <row r="563">
      <c r="D563" s="309"/>
      <c r="E563" s="309"/>
      <c r="F563" s="309"/>
      <c r="G563" s="309"/>
      <c r="H563" s="309"/>
      <c r="I563" s="309"/>
    </row>
    <row r="564">
      <c r="D564" s="309"/>
      <c r="E564" s="309"/>
      <c r="F564" s="309"/>
      <c r="G564" s="309"/>
      <c r="H564" s="309"/>
      <c r="I564" s="309"/>
    </row>
    <row r="565">
      <c r="D565" s="309"/>
      <c r="E565" s="309"/>
      <c r="F565" s="309"/>
      <c r="G565" s="309"/>
      <c r="H565" s="309"/>
      <c r="I565" s="309"/>
    </row>
    <row r="566">
      <c r="D566" s="309"/>
      <c r="E566" s="309"/>
      <c r="F566" s="309"/>
      <c r="G566" s="309"/>
      <c r="H566" s="309"/>
      <c r="I566" s="309"/>
    </row>
    <row r="567">
      <c r="D567" s="309"/>
      <c r="E567" s="309"/>
      <c r="F567" s="309"/>
      <c r="G567" s="309"/>
      <c r="H567" s="309"/>
      <c r="I567" s="309"/>
    </row>
    <row r="568">
      <c r="D568" s="309"/>
      <c r="E568" s="309"/>
      <c r="F568" s="309"/>
      <c r="G568" s="309"/>
      <c r="H568" s="309"/>
      <c r="I568" s="309"/>
    </row>
    <row r="569">
      <c r="D569" s="309"/>
      <c r="E569" s="309"/>
      <c r="F569" s="309"/>
      <c r="G569" s="309"/>
      <c r="H569" s="309"/>
      <c r="I569" s="309"/>
    </row>
    <row r="570">
      <c r="D570" s="309"/>
      <c r="E570" s="309"/>
      <c r="F570" s="309"/>
      <c r="G570" s="309"/>
      <c r="H570" s="309"/>
      <c r="I570" s="309"/>
    </row>
    <row r="571">
      <c r="D571" s="309"/>
      <c r="E571" s="309"/>
      <c r="F571" s="309"/>
      <c r="G571" s="309"/>
      <c r="H571" s="309"/>
      <c r="I571" s="309"/>
    </row>
    <row r="572">
      <c r="D572" s="309"/>
      <c r="E572" s="309"/>
      <c r="F572" s="309"/>
      <c r="G572" s="309"/>
      <c r="H572" s="309"/>
      <c r="I572" s="309"/>
    </row>
    <row r="573">
      <c r="D573" s="309"/>
      <c r="E573" s="309"/>
      <c r="F573" s="309"/>
      <c r="G573" s="309"/>
      <c r="H573" s="309"/>
      <c r="I573" s="309"/>
    </row>
    <row r="574">
      <c r="D574" s="309"/>
      <c r="E574" s="309"/>
      <c r="F574" s="309"/>
      <c r="G574" s="309"/>
      <c r="H574" s="309"/>
      <c r="I574" s="309"/>
    </row>
    <row r="575">
      <c r="D575" s="309"/>
      <c r="E575" s="309"/>
      <c r="F575" s="309"/>
      <c r="G575" s="309"/>
      <c r="H575" s="309"/>
      <c r="I575" s="309"/>
    </row>
    <row r="576">
      <c r="D576" s="309"/>
      <c r="E576" s="309"/>
      <c r="F576" s="309"/>
      <c r="G576" s="309"/>
      <c r="H576" s="309"/>
      <c r="I576" s="309"/>
    </row>
    <row r="577">
      <c r="D577" s="309"/>
      <c r="E577" s="309"/>
      <c r="F577" s="309"/>
      <c r="G577" s="309"/>
      <c r="H577" s="309"/>
      <c r="I577" s="309"/>
    </row>
    <row r="578">
      <c r="D578" s="309"/>
      <c r="E578" s="309"/>
      <c r="F578" s="309"/>
      <c r="G578" s="309"/>
      <c r="H578" s="309"/>
      <c r="I578" s="309"/>
    </row>
    <row r="579">
      <c r="D579" s="309"/>
      <c r="E579" s="309"/>
      <c r="F579" s="309"/>
      <c r="G579" s="309"/>
      <c r="H579" s="309"/>
      <c r="I579" s="309"/>
    </row>
    <row r="580">
      <c r="D580" s="309"/>
      <c r="E580" s="309"/>
      <c r="F580" s="309"/>
      <c r="G580" s="309"/>
      <c r="H580" s="309"/>
      <c r="I580" s="309"/>
    </row>
    <row r="581">
      <c r="D581" s="309"/>
      <c r="E581" s="309"/>
      <c r="F581" s="309"/>
      <c r="G581" s="309"/>
      <c r="H581" s="309"/>
      <c r="I581" s="309"/>
    </row>
    <row r="582">
      <c r="D582" s="309"/>
      <c r="E582" s="309"/>
      <c r="F582" s="309"/>
      <c r="G582" s="309"/>
      <c r="H582" s="309"/>
      <c r="I582" s="309"/>
    </row>
    <row r="583">
      <c r="D583" s="309"/>
      <c r="E583" s="309"/>
      <c r="F583" s="309"/>
      <c r="G583" s="309"/>
      <c r="H583" s="309"/>
      <c r="I583" s="309"/>
    </row>
    <row r="584">
      <c r="D584" s="309"/>
      <c r="E584" s="309"/>
      <c r="F584" s="309"/>
      <c r="G584" s="309"/>
      <c r="H584" s="309"/>
      <c r="I584" s="309"/>
    </row>
    <row r="585">
      <c r="D585" s="309"/>
      <c r="E585" s="309"/>
      <c r="F585" s="309"/>
      <c r="G585" s="309"/>
      <c r="H585" s="309"/>
      <c r="I585" s="309"/>
    </row>
    <row r="586">
      <c r="D586" s="309"/>
      <c r="E586" s="309"/>
      <c r="F586" s="309"/>
      <c r="G586" s="309"/>
      <c r="H586" s="309"/>
      <c r="I586" s="309"/>
    </row>
    <row r="587">
      <c r="D587" s="309"/>
      <c r="E587" s="309"/>
      <c r="F587" s="309"/>
      <c r="G587" s="309"/>
      <c r="H587" s="309"/>
      <c r="I587" s="309"/>
    </row>
    <row r="588">
      <c r="D588" s="309"/>
      <c r="E588" s="309"/>
      <c r="F588" s="309"/>
      <c r="G588" s="309"/>
      <c r="H588" s="309"/>
      <c r="I588" s="309"/>
    </row>
    <row r="589">
      <c r="D589" s="309"/>
      <c r="E589" s="309"/>
      <c r="F589" s="309"/>
      <c r="G589" s="309"/>
      <c r="H589" s="309"/>
      <c r="I589" s="309"/>
    </row>
    <row r="590">
      <c r="D590" s="309"/>
      <c r="E590" s="309"/>
      <c r="F590" s="309"/>
      <c r="G590" s="309"/>
      <c r="H590" s="309"/>
      <c r="I590" s="309"/>
    </row>
    <row r="591">
      <c r="D591" s="309"/>
      <c r="E591" s="309"/>
      <c r="F591" s="309"/>
      <c r="G591" s="309"/>
      <c r="H591" s="309"/>
      <c r="I591" s="309"/>
    </row>
    <row r="592">
      <c r="D592" s="309"/>
      <c r="E592" s="309"/>
      <c r="F592" s="309"/>
      <c r="G592" s="309"/>
      <c r="H592" s="309"/>
      <c r="I592" s="309"/>
    </row>
    <row r="593">
      <c r="D593" s="309"/>
      <c r="E593" s="309"/>
      <c r="F593" s="309"/>
      <c r="G593" s="309"/>
      <c r="H593" s="309"/>
      <c r="I593" s="309"/>
    </row>
    <row r="594">
      <c r="D594" s="309"/>
      <c r="E594" s="309"/>
      <c r="F594" s="309"/>
      <c r="G594" s="309"/>
      <c r="H594" s="309"/>
      <c r="I594" s="309"/>
    </row>
    <row r="595">
      <c r="D595" s="309"/>
      <c r="E595" s="309"/>
      <c r="F595" s="309"/>
      <c r="G595" s="309"/>
      <c r="H595" s="309"/>
      <c r="I595" s="309"/>
    </row>
    <row r="596">
      <c r="D596" s="309"/>
      <c r="E596" s="309"/>
      <c r="F596" s="309"/>
      <c r="G596" s="309"/>
      <c r="H596" s="309"/>
      <c r="I596" s="309"/>
    </row>
    <row r="597">
      <c r="D597" s="309"/>
      <c r="E597" s="309"/>
      <c r="F597" s="309"/>
      <c r="G597" s="309"/>
      <c r="H597" s="309"/>
      <c r="I597" s="309"/>
    </row>
    <row r="598">
      <c r="D598" s="309"/>
      <c r="E598" s="309"/>
      <c r="F598" s="309"/>
      <c r="G598" s="309"/>
      <c r="H598" s="309"/>
      <c r="I598" s="309"/>
    </row>
    <row r="599">
      <c r="D599" s="309"/>
      <c r="E599" s="309"/>
      <c r="F599" s="309"/>
      <c r="G599" s="309"/>
      <c r="H599" s="309"/>
      <c r="I599" s="309"/>
    </row>
    <row r="600">
      <c r="D600" s="309"/>
      <c r="E600" s="309"/>
      <c r="F600" s="309"/>
      <c r="G600" s="309"/>
      <c r="H600" s="309"/>
      <c r="I600" s="309"/>
    </row>
    <row r="601">
      <c r="D601" s="309"/>
      <c r="E601" s="309"/>
      <c r="F601" s="309"/>
      <c r="G601" s="309"/>
      <c r="H601" s="309"/>
      <c r="I601" s="309"/>
    </row>
    <row r="602">
      <c r="D602" s="309"/>
      <c r="E602" s="309"/>
      <c r="F602" s="309"/>
      <c r="G602" s="309"/>
      <c r="H602" s="309"/>
      <c r="I602" s="309"/>
    </row>
    <row r="603">
      <c r="D603" s="309"/>
      <c r="E603" s="309"/>
      <c r="F603" s="309"/>
      <c r="G603" s="309"/>
      <c r="H603" s="309"/>
      <c r="I603" s="309"/>
    </row>
    <row r="604">
      <c r="D604" s="309"/>
      <c r="E604" s="309"/>
      <c r="F604" s="309"/>
      <c r="G604" s="309"/>
      <c r="H604" s="309"/>
      <c r="I604" s="309"/>
    </row>
    <row r="605">
      <c r="D605" s="309"/>
      <c r="E605" s="309"/>
      <c r="F605" s="309"/>
      <c r="G605" s="309"/>
      <c r="H605" s="309"/>
      <c r="I605" s="309"/>
    </row>
    <row r="606">
      <c r="D606" s="309"/>
      <c r="E606" s="309"/>
      <c r="F606" s="309"/>
      <c r="G606" s="309"/>
      <c r="H606" s="309"/>
      <c r="I606" s="309"/>
    </row>
    <row r="607">
      <c r="D607" s="309"/>
      <c r="E607" s="309"/>
      <c r="F607" s="309"/>
      <c r="G607" s="309"/>
      <c r="H607" s="309"/>
      <c r="I607" s="309"/>
    </row>
    <row r="608">
      <c r="D608" s="309"/>
      <c r="E608" s="309"/>
      <c r="F608" s="309"/>
      <c r="G608" s="309"/>
      <c r="H608" s="309"/>
      <c r="I608" s="309"/>
    </row>
    <row r="609">
      <c r="D609" s="309"/>
      <c r="E609" s="309"/>
      <c r="F609" s="309"/>
      <c r="G609" s="309"/>
      <c r="H609" s="309"/>
      <c r="I609" s="309"/>
    </row>
    <row r="610">
      <c r="D610" s="309"/>
      <c r="E610" s="309"/>
      <c r="F610" s="309"/>
      <c r="G610" s="309"/>
      <c r="H610" s="309"/>
      <c r="I610" s="309"/>
    </row>
    <row r="611">
      <c r="D611" s="309"/>
      <c r="E611" s="309"/>
      <c r="F611" s="309"/>
      <c r="G611" s="309"/>
      <c r="H611" s="309"/>
      <c r="I611" s="309"/>
    </row>
    <row r="612">
      <c r="D612" s="309"/>
      <c r="E612" s="309"/>
      <c r="F612" s="309"/>
      <c r="G612" s="309"/>
      <c r="H612" s="309"/>
      <c r="I612" s="309"/>
    </row>
    <row r="613">
      <c r="D613" s="309"/>
      <c r="E613" s="309"/>
      <c r="F613" s="309"/>
      <c r="G613" s="309"/>
      <c r="H613" s="309"/>
      <c r="I613" s="309"/>
    </row>
    <row r="614">
      <c r="D614" s="309"/>
      <c r="E614" s="309"/>
      <c r="F614" s="309"/>
      <c r="G614" s="309"/>
      <c r="H614" s="309"/>
      <c r="I614" s="309"/>
    </row>
    <row r="615">
      <c r="D615" s="309"/>
      <c r="E615" s="309"/>
      <c r="F615" s="309"/>
      <c r="G615" s="309"/>
      <c r="H615" s="309"/>
      <c r="I615" s="309"/>
    </row>
    <row r="616">
      <c r="D616" s="309"/>
      <c r="E616" s="309"/>
      <c r="F616" s="309"/>
      <c r="G616" s="309"/>
      <c r="H616" s="309"/>
      <c r="I616" s="309"/>
    </row>
    <row r="617">
      <c r="D617" s="309"/>
      <c r="E617" s="309"/>
      <c r="F617" s="309"/>
      <c r="G617" s="309"/>
      <c r="H617" s="309"/>
      <c r="I617" s="309"/>
    </row>
    <row r="618">
      <c r="D618" s="309"/>
      <c r="E618" s="309"/>
      <c r="F618" s="309"/>
      <c r="G618" s="309"/>
      <c r="H618" s="309"/>
      <c r="I618" s="309"/>
    </row>
    <row r="619">
      <c r="D619" s="309"/>
      <c r="E619" s="309"/>
      <c r="F619" s="309"/>
      <c r="G619" s="309"/>
      <c r="H619" s="309"/>
      <c r="I619" s="309"/>
    </row>
    <row r="620">
      <c r="D620" s="309"/>
      <c r="E620" s="309"/>
      <c r="F620" s="309"/>
      <c r="G620" s="309"/>
      <c r="H620" s="309"/>
      <c r="I620" s="309"/>
    </row>
    <row r="621">
      <c r="D621" s="309"/>
      <c r="E621" s="309"/>
      <c r="F621" s="309"/>
      <c r="G621" s="309"/>
      <c r="H621" s="309"/>
      <c r="I621" s="309"/>
    </row>
    <row r="622">
      <c r="D622" s="309"/>
      <c r="E622" s="309"/>
      <c r="F622" s="309"/>
      <c r="G622" s="309"/>
      <c r="H622" s="309"/>
      <c r="I622" s="309"/>
    </row>
    <row r="623">
      <c r="D623" s="309"/>
      <c r="E623" s="309"/>
      <c r="F623" s="309"/>
      <c r="G623" s="309"/>
      <c r="H623" s="309"/>
      <c r="I623" s="309"/>
    </row>
    <row r="624">
      <c r="D624" s="309"/>
      <c r="E624" s="309"/>
      <c r="F624" s="309"/>
      <c r="G624" s="309"/>
      <c r="H624" s="309"/>
      <c r="I624" s="309"/>
    </row>
    <row r="625">
      <c r="D625" s="309"/>
      <c r="E625" s="309"/>
      <c r="F625" s="309"/>
      <c r="G625" s="309"/>
      <c r="H625" s="309"/>
      <c r="I625" s="309"/>
    </row>
    <row r="626">
      <c r="D626" s="309"/>
      <c r="E626" s="309"/>
      <c r="F626" s="309"/>
      <c r="G626" s="309"/>
      <c r="H626" s="309"/>
      <c r="I626" s="309"/>
    </row>
    <row r="627">
      <c r="D627" s="309"/>
      <c r="E627" s="309"/>
      <c r="F627" s="309"/>
      <c r="G627" s="309"/>
      <c r="H627" s="309"/>
      <c r="I627" s="309"/>
    </row>
    <row r="628">
      <c r="D628" s="309"/>
      <c r="E628" s="309"/>
      <c r="F628" s="309"/>
      <c r="G628" s="309"/>
      <c r="H628" s="309"/>
      <c r="I628" s="309"/>
    </row>
    <row r="629">
      <c r="D629" s="309"/>
      <c r="E629" s="309"/>
      <c r="F629" s="309"/>
      <c r="G629" s="309"/>
      <c r="H629" s="309"/>
      <c r="I629" s="309"/>
    </row>
    <row r="630">
      <c r="D630" s="309"/>
      <c r="E630" s="309"/>
      <c r="F630" s="309"/>
      <c r="G630" s="309"/>
      <c r="H630" s="309"/>
      <c r="I630" s="309"/>
    </row>
    <row r="631">
      <c r="D631" s="309"/>
      <c r="E631" s="309"/>
      <c r="F631" s="309"/>
      <c r="G631" s="309"/>
      <c r="H631" s="309"/>
      <c r="I631" s="309"/>
    </row>
    <row r="632">
      <c r="D632" s="309"/>
      <c r="E632" s="309"/>
      <c r="F632" s="309"/>
      <c r="G632" s="309"/>
      <c r="H632" s="309"/>
      <c r="I632" s="309"/>
    </row>
    <row r="633">
      <c r="D633" s="309"/>
      <c r="E633" s="309"/>
      <c r="F633" s="309"/>
      <c r="G633" s="309"/>
      <c r="H633" s="309"/>
      <c r="I633" s="309"/>
    </row>
    <row r="634">
      <c r="D634" s="309"/>
      <c r="E634" s="309"/>
      <c r="F634" s="309"/>
      <c r="G634" s="309"/>
      <c r="H634" s="309"/>
      <c r="I634" s="309"/>
    </row>
    <row r="635">
      <c r="D635" s="309"/>
      <c r="E635" s="309"/>
      <c r="F635" s="309"/>
      <c r="G635" s="309"/>
      <c r="H635" s="309"/>
      <c r="I635" s="309"/>
    </row>
    <row r="636">
      <c r="D636" s="309"/>
      <c r="E636" s="309"/>
      <c r="F636" s="309"/>
      <c r="G636" s="309"/>
      <c r="H636" s="309"/>
      <c r="I636" s="309"/>
    </row>
    <row r="637">
      <c r="D637" s="309"/>
      <c r="E637" s="309"/>
      <c r="F637" s="309"/>
      <c r="G637" s="309"/>
      <c r="H637" s="309"/>
      <c r="I637" s="309"/>
    </row>
    <row r="638">
      <c r="D638" s="309"/>
      <c r="E638" s="309"/>
      <c r="F638" s="309"/>
      <c r="G638" s="309"/>
      <c r="H638" s="309"/>
      <c r="I638" s="309"/>
    </row>
    <row r="639">
      <c r="D639" s="309"/>
      <c r="E639" s="309"/>
      <c r="F639" s="309"/>
      <c r="G639" s="309"/>
      <c r="H639" s="309"/>
      <c r="I639" s="309"/>
    </row>
    <row r="640">
      <c r="D640" s="309"/>
      <c r="E640" s="309"/>
      <c r="F640" s="309"/>
      <c r="G640" s="309"/>
      <c r="H640" s="309"/>
      <c r="I640" s="309"/>
    </row>
    <row r="641">
      <c r="D641" s="309"/>
      <c r="E641" s="309"/>
      <c r="F641" s="309"/>
      <c r="G641" s="309"/>
      <c r="H641" s="309"/>
      <c r="I641" s="309"/>
    </row>
    <row r="642">
      <c r="D642" s="309"/>
      <c r="E642" s="309"/>
      <c r="F642" s="309"/>
      <c r="G642" s="309"/>
      <c r="H642" s="309"/>
      <c r="I642" s="309"/>
    </row>
    <row r="643">
      <c r="D643" s="309"/>
      <c r="E643" s="309"/>
      <c r="F643" s="309"/>
      <c r="G643" s="309"/>
      <c r="H643" s="309"/>
      <c r="I643" s="309"/>
    </row>
    <row r="644">
      <c r="D644" s="309"/>
      <c r="E644" s="309"/>
      <c r="F644" s="309"/>
      <c r="G644" s="309"/>
      <c r="H644" s="309"/>
      <c r="I644" s="309"/>
    </row>
    <row r="645">
      <c r="D645" s="309"/>
      <c r="E645" s="309"/>
      <c r="F645" s="309"/>
      <c r="G645" s="309"/>
      <c r="H645" s="309"/>
      <c r="I645" s="309"/>
    </row>
    <row r="646">
      <c r="D646" s="309"/>
      <c r="E646" s="309"/>
      <c r="F646" s="309"/>
      <c r="G646" s="309"/>
      <c r="H646" s="309"/>
      <c r="I646" s="309"/>
    </row>
    <row r="647">
      <c r="D647" s="309"/>
      <c r="E647" s="309"/>
      <c r="F647" s="309"/>
      <c r="G647" s="309"/>
      <c r="H647" s="309"/>
      <c r="I647" s="309"/>
    </row>
    <row r="648">
      <c r="D648" s="309"/>
      <c r="E648" s="309"/>
      <c r="F648" s="309"/>
      <c r="G648" s="309"/>
      <c r="H648" s="309"/>
      <c r="I648" s="309"/>
    </row>
    <row r="649">
      <c r="D649" s="309"/>
      <c r="E649" s="309"/>
      <c r="F649" s="309"/>
      <c r="G649" s="309"/>
      <c r="H649" s="309"/>
      <c r="I649" s="309"/>
    </row>
    <row r="650">
      <c r="D650" s="309"/>
      <c r="E650" s="309"/>
      <c r="F650" s="309"/>
      <c r="G650" s="309"/>
      <c r="H650" s="309"/>
      <c r="I650" s="309"/>
    </row>
    <row r="651">
      <c r="D651" s="309"/>
      <c r="E651" s="309"/>
      <c r="F651" s="309"/>
      <c r="G651" s="309"/>
      <c r="H651" s="309"/>
      <c r="I651" s="309"/>
    </row>
    <row r="652">
      <c r="D652" s="309"/>
      <c r="E652" s="309"/>
      <c r="F652" s="309"/>
      <c r="G652" s="309"/>
      <c r="H652" s="309"/>
      <c r="I652" s="309"/>
    </row>
    <row r="653">
      <c r="D653" s="309"/>
      <c r="E653" s="309"/>
      <c r="F653" s="309"/>
      <c r="G653" s="309"/>
      <c r="H653" s="309"/>
      <c r="I653" s="309"/>
    </row>
    <row r="654">
      <c r="D654" s="309"/>
      <c r="E654" s="309"/>
      <c r="F654" s="309"/>
      <c r="G654" s="309"/>
      <c r="H654" s="309"/>
      <c r="I654" s="309"/>
    </row>
    <row r="655">
      <c r="D655" s="309"/>
      <c r="E655" s="309"/>
      <c r="F655" s="309"/>
      <c r="G655" s="309"/>
      <c r="H655" s="309"/>
      <c r="I655" s="309"/>
    </row>
    <row r="656">
      <c r="D656" s="309"/>
      <c r="E656" s="309"/>
      <c r="F656" s="309"/>
      <c r="G656" s="309"/>
      <c r="H656" s="309"/>
      <c r="I656" s="309"/>
    </row>
    <row r="657">
      <c r="D657" s="309"/>
      <c r="E657" s="309"/>
      <c r="F657" s="309"/>
      <c r="G657" s="309"/>
      <c r="H657" s="309"/>
      <c r="I657" s="309"/>
    </row>
    <row r="658">
      <c r="D658" s="309"/>
      <c r="E658" s="309"/>
      <c r="F658" s="309"/>
      <c r="G658" s="309"/>
      <c r="H658" s="309"/>
      <c r="I658" s="309"/>
    </row>
    <row r="659">
      <c r="D659" s="309"/>
      <c r="E659" s="309"/>
      <c r="F659" s="309"/>
      <c r="G659" s="309"/>
      <c r="H659" s="309"/>
      <c r="I659" s="309"/>
    </row>
    <row r="660">
      <c r="D660" s="309"/>
      <c r="E660" s="309"/>
      <c r="F660" s="309"/>
      <c r="G660" s="309"/>
      <c r="H660" s="309"/>
      <c r="I660" s="309"/>
    </row>
    <row r="661">
      <c r="D661" s="309"/>
      <c r="E661" s="309"/>
      <c r="F661" s="309"/>
      <c r="G661" s="309"/>
      <c r="H661" s="309"/>
      <c r="I661" s="309"/>
    </row>
    <row r="662">
      <c r="D662" s="309"/>
      <c r="E662" s="309"/>
      <c r="F662" s="309"/>
      <c r="G662" s="309"/>
      <c r="H662" s="309"/>
      <c r="I662" s="309"/>
    </row>
    <row r="663">
      <c r="D663" s="309"/>
      <c r="E663" s="309"/>
      <c r="F663" s="309"/>
      <c r="G663" s="309"/>
      <c r="H663" s="309"/>
      <c r="I663" s="309"/>
    </row>
    <row r="664">
      <c r="D664" s="309"/>
      <c r="E664" s="309"/>
      <c r="F664" s="309"/>
      <c r="G664" s="309"/>
      <c r="H664" s="309"/>
      <c r="I664" s="309"/>
    </row>
    <row r="665">
      <c r="D665" s="309"/>
      <c r="E665" s="309"/>
      <c r="F665" s="309"/>
      <c r="G665" s="309"/>
      <c r="H665" s="309"/>
      <c r="I665" s="309"/>
    </row>
    <row r="666">
      <c r="D666" s="309"/>
      <c r="E666" s="309"/>
      <c r="F666" s="309"/>
      <c r="G666" s="309"/>
      <c r="H666" s="309"/>
      <c r="I666" s="309"/>
    </row>
    <row r="667">
      <c r="D667" s="309"/>
      <c r="E667" s="309"/>
      <c r="F667" s="309"/>
      <c r="G667" s="309"/>
      <c r="H667" s="309"/>
      <c r="I667" s="309"/>
    </row>
    <row r="668">
      <c r="D668" s="309"/>
      <c r="E668" s="309"/>
      <c r="F668" s="309"/>
      <c r="G668" s="309"/>
      <c r="H668" s="309"/>
      <c r="I668" s="309"/>
    </row>
    <row r="669">
      <c r="D669" s="309"/>
      <c r="E669" s="309"/>
      <c r="F669" s="309"/>
      <c r="G669" s="309"/>
      <c r="H669" s="309"/>
      <c r="I669" s="309"/>
    </row>
    <row r="670">
      <c r="D670" s="309"/>
      <c r="E670" s="309"/>
      <c r="F670" s="309"/>
      <c r="G670" s="309"/>
      <c r="H670" s="309"/>
      <c r="I670" s="309"/>
    </row>
    <row r="671">
      <c r="D671" s="309"/>
      <c r="E671" s="309"/>
      <c r="F671" s="309"/>
      <c r="G671" s="309"/>
      <c r="H671" s="309"/>
      <c r="I671" s="309"/>
    </row>
    <row r="672">
      <c r="D672" s="309"/>
      <c r="E672" s="309"/>
      <c r="F672" s="309"/>
      <c r="G672" s="309"/>
      <c r="H672" s="309"/>
      <c r="I672" s="309"/>
    </row>
    <row r="673">
      <c r="D673" s="309"/>
      <c r="E673" s="309"/>
      <c r="F673" s="309"/>
      <c r="G673" s="309"/>
      <c r="H673" s="309"/>
      <c r="I673" s="309"/>
    </row>
    <row r="674">
      <c r="D674" s="309"/>
      <c r="E674" s="309"/>
      <c r="F674" s="309"/>
      <c r="G674" s="309"/>
      <c r="H674" s="309"/>
      <c r="I674" s="309"/>
    </row>
    <row r="675">
      <c r="D675" s="309"/>
      <c r="E675" s="309"/>
      <c r="F675" s="309"/>
      <c r="G675" s="309"/>
      <c r="H675" s="309"/>
      <c r="I675" s="309"/>
    </row>
    <row r="676">
      <c r="D676" s="309"/>
      <c r="E676" s="309"/>
      <c r="F676" s="309"/>
      <c r="G676" s="309"/>
      <c r="H676" s="309"/>
      <c r="I676" s="309"/>
    </row>
    <row r="677">
      <c r="D677" s="309"/>
      <c r="E677" s="309"/>
      <c r="F677" s="309"/>
      <c r="G677" s="309"/>
      <c r="H677" s="309"/>
      <c r="I677" s="309"/>
    </row>
    <row r="678">
      <c r="D678" s="309"/>
      <c r="E678" s="309"/>
      <c r="F678" s="309"/>
      <c r="G678" s="309"/>
      <c r="H678" s="309"/>
      <c r="I678" s="309"/>
    </row>
    <row r="679">
      <c r="D679" s="309"/>
      <c r="E679" s="309"/>
      <c r="F679" s="309"/>
      <c r="G679" s="309"/>
      <c r="H679" s="309"/>
      <c r="I679" s="309"/>
    </row>
    <row r="680">
      <c r="D680" s="309"/>
      <c r="E680" s="309"/>
      <c r="F680" s="309"/>
      <c r="G680" s="309"/>
      <c r="H680" s="309"/>
      <c r="I680" s="309"/>
    </row>
    <row r="681">
      <c r="D681" s="309"/>
      <c r="E681" s="309"/>
      <c r="F681" s="309"/>
      <c r="G681" s="309"/>
      <c r="H681" s="309"/>
      <c r="I681" s="309"/>
    </row>
    <row r="682">
      <c r="D682" s="309"/>
      <c r="E682" s="309"/>
      <c r="F682" s="309"/>
      <c r="G682" s="309"/>
      <c r="H682" s="309"/>
      <c r="I682" s="309"/>
    </row>
    <row r="683">
      <c r="D683" s="309"/>
      <c r="E683" s="309"/>
      <c r="F683" s="309"/>
      <c r="G683" s="309"/>
      <c r="H683" s="309"/>
      <c r="I683" s="309"/>
    </row>
    <row r="684">
      <c r="D684" s="309"/>
      <c r="E684" s="309"/>
      <c r="F684" s="309"/>
      <c r="G684" s="309"/>
      <c r="H684" s="309"/>
      <c r="I684" s="309"/>
    </row>
    <row r="685">
      <c r="D685" s="309"/>
      <c r="E685" s="309"/>
      <c r="F685" s="309"/>
      <c r="G685" s="309"/>
      <c r="H685" s="309"/>
      <c r="I685" s="309"/>
    </row>
    <row r="686">
      <c r="D686" s="309"/>
      <c r="E686" s="309"/>
      <c r="F686" s="309"/>
      <c r="G686" s="309"/>
      <c r="H686" s="309"/>
      <c r="I686" s="309"/>
    </row>
    <row r="687">
      <c r="D687" s="309"/>
      <c r="E687" s="309"/>
      <c r="F687" s="309"/>
      <c r="G687" s="309"/>
      <c r="H687" s="309"/>
      <c r="I687" s="309"/>
    </row>
    <row r="688">
      <c r="D688" s="309"/>
      <c r="E688" s="309"/>
      <c r="F688" s="309"/>
      <c r="G688" s="309"/>
      <c r="H688" s="309"/>
      <c r="I688" s="309"/>
    </row>
    <row r="689">
      <c r="D689" s="309"/>
      <c r="E689" s="309"/>
      <c r="F689" s="309"/>
      <c r="G689" s="309"/>
      <c r="H689" s="309"/>
      <c r="I689" s="309"/>
    </row>
    <row r="690">
      <c r="D690" s="309"/>
      <c r="E690" s="309"/>
      <c r="F690" s="309"/>
      <c r="G690" s="309"/>
      <c r="H690" s="309"/>
      <c r="I690" s="309"/>
    </row>
    <row r="691">
      <c r="D691" s="309"/>
      <c r="E691" s="309"/>
      <c r="F691" s="309"/>
      <c r="G691" s="309"/>
      <c r="H691" s="309"/>
      <c r="I691" s="309"/>
    </row>
    <row r="692">
      <c r="D692" s="309"/>
      <c r="E692" s="309"/>
      <c r="F692" s="309"/>
      <c r="G692" s="309"/>
      <c r="H692" s="309"/>
      <c r="I692" s="309"/>
    </row>
    <row r="693">
      <c r="D693" s="309"/>
      <c r="E693" s="309"/>
      <c r="F693" s="309"/>
      <c r="G693" s="309"/>
      <c r="H693" s="309"/>
      <c r="I693" s="309"/>
    </row>
    <row r="694">
      <c r="D694" s="309"/>
      <c r="E694" s="309"/>
      <c r="F694" s="309"/>
      <c r="G694" s="309"/>
      <c r="H694" s="309"/>
      <c r="I694" s="309"/>
    </row>
    <row r="695">
      <c r="D695" s="309"/>
      <c r="E695" s="309"/>
      <c r="F695" s="309"/>
      <c r="G695" s="309"/>
      <c r="H695" s="309"/>
      <c r="I695" s="309"/>
    </row>
    <row r="696">
      <c r="D696" s="309"/>
      <c r="E696" s="309"/>
      <c r="F696" s="309"/>
      <c r="G696" s="309"/>
      <c r="H696" s="309"/>
      <c r="I696" s="309"/>
    </row>
    <row r="697">
      <c r="D697" s="309"/>
      <c r="E697" s="309"/>
      <c r="F697" s="309"/>
      <c r="G697" s="309"/>
      <c r="H697" s="309"/>
      <c r="I697" s="309"/>
    </row>
    <row r="698">
      <c r="D698" s="309"/>
      <c r="E698" s="309"/>
      <c r="F698" s="309"/>
      <c r="G698" s="309"/>
      <c r="H698" s="309"/>
      <c r="I698" s="309"/>
    </row>
    <row r="699">
      <c r="D699" s="309"/>
      <c r="E699" s="309"/>
      <c r="F699" s="309"/>
      <c r="G699" s="309"/>
      <c r="H699" s="309"/>
      <c r="I699" s="309"/>
    </row>
    <row r="700">
      <c r="D700" s="309"/>
      <c r="E700" s="309"/>
      <c r="F700" s="309"/>
      <c r="G700" s="309"/>
      <c r="H700" s="309"/>
      <c r="I700" s="309"/>
    </row>
    <row r="701">
      <c r="D701" s="309"/>
      <c r="E701" s="309"/>
      <c r="F701" s="309"/>
      <c r="G701" s="309"/>
      <c r="H701" s="309"/>
      <c r="I701" s="309"/>
    </row>
    <row r="702">
      <c r="D702" s="309"/>
      <c r="E702" s="309"/>
      <c r="F702" s="309"/>
      <c r="G702" s="309"/>
      <c r="H702" s="309"/>
      <c r="I702" s="309"/>
    </row>
    <row r="703">
      <c r="D703" s="309"/>
      <c r="E703" s="309"/>
      <c r="F703" s="309"/>
      <c r="G703" s="309"/>
      <c r="H703" s="309"/>
      <c r="I703" s="309"/>
    </row>
    <row r="704">
      <c r="D704" s="309"/>
      <c r="E704" s="309"/>
      <c r="F704" s="309"/>
      <c r="G704" s="309"/>
      <c r="H704" s="309"/>
      <c r="I704" s="309"/>
    </row>
    <row r="705">
      <c r="D705" s="309"/>
      <c r="E705" s="309"/>
      <c r="F705" s="309"/>
      <c r="G705" s="309"/>
      <c r="H705" s="309"/>
      <c r="I705" s="309"/>
    </row>
    <row r="706">
      <c r="D706" s="309"/>
      <c r="E706" s="309"/>
      <c r="F706" s="309"/>
      <c r="G706" s="309"/>
      <c r="H706" s="309"/>
      <c r="I706" s="309"/>
    </row>
    <row r="707">
      <c r="D707" s="309"/>
      <c r="E707" s="309"/>
      <c r="F707" s="309"/>
      <c r="G707" s="309"/>
      <c r="H707" s="309"/>
      <c r="I707" s="309"/>
    </row>
    <row r="708">
      <c r="D708" s="309"/>
      <c r="E708" s="309"/>
      <c r="F708" s="309"/>
      <c r="G708" s="309"/>
      <c r="H708" s="309"/>
      <c r="I708" s="309"/>
    </row>
    <row r="709">
      <c r="D709" s="309"/>
      <c r="E709" s="309"/>
      <c r="F709" s="309"/>
      <c r="G709" s="309"/>
      <c r="H709" s="309"/>
      <c r="I709" s="309"/>
    </row>
    <row r="710">
      <c r="D710" s="309"/>
      <c r="E710" s="309"/>
      <c r="F710" s="309"/>
      <c r="G710" s="309"/>
      <c r="H710" s="309"/>
      <c r="I710" s="309"/>
    </row>
    <row r="711">
      <c r="D711" s="309"/>
      <c r="E711" s="309"/>
      <c r="F711" s="309"/>
      <c r="G711" s="309"/>
      <c r="H711" s="309"/>
      <c r="I711" s="309"/>
    </row>
    <row r="712">
      <c r="D712" s="309"/>
      <c r="E712" s="309"/>
      <c r="F712" s="309"/>
      <c r="G712" s="309"/>
      <c r="H712" s="309"/>
      <c r="I712" s="309"/>
    </row>
    <row r="713">
      <c r="D713" s="309"/>
      <c r="E713" s="309"/>
      <c r="F713" s="309"/>
      <c r="G713" s="309"/>
      <c r="H713" s="309"/>
      <c r="I713" s="309"/>
    </row>
    <row r="714">
      <c r="D714" s="309"/>
      <c r="E714" s="309"/>
      <c r="F714" s="309"/>
      <c r="G714" s="309"/>
      <c r="H714" s="309"/>
      <c r="I714" s="309"/>
    </row>
    <row r="715">
      <c r="D715" s="309"/>
      <c r="E715" s="309"/>
      <c r="F715" s="309"/>
      <c r="G715" s="309"/>
      <c r="H715" s="309"/>
      <c r="I715" s="309"/>
    </row>
    <row r="716">
      <c r="D716" s="309"/>
      <c r="E716" s="309"/>
      <c r="F716" s="309"/>
      <c r="G716" s="309"/>
      <c r="H716" s="309"/>
      <c r="I716" s="309"/>
    </row>
    <row r="717">
      <c r="D717" s="309"/>
      <c r="E717" s="309"/>
      <c r="F717" s="309"/>
      <c r="G717" s="309"/>
      <c r="H717" s="309"/>
      <c r="I717" s="309"/>
    </row>
    <row r="718">
      <c r="D718" s="309"/>
      <c r="E718" s="309"/>
      <c r="F718" s="309"/>
      <c r="G718" s="309"/>
      <c r="H718" s="309"/>
      <c r="I718" s="309"/>
    </row>
    <row r="719">
      <c r="D719" s="309"/>
      <c r="E719" s="309"/>
      <c r="F719" s="309"/>
      <c r="G719" s="309"/>
      <c r="H719" s="309"/>
      <c r="I719" s="309"/>
    </row>
    <row r="720">
      <c r="D720" s="309"/>
      <c r="E720" s="309"/>
      <c r="F720" s="309"/>
      <c r="G720" s="309"/>
      <c r="H720" s="309"/>
      <c r="I720" s="309"/>
    </row>
    <row r="721">
      <c r="D721" s="309"/>
      <c r="E721" s="309"/>
      <c r="F721" s="309"/>
      <c r="G721" s="309"/>
      <c r="H721" s="309"/>
      <c r="I721" s="309"/>
    </row>
    <row r="722">
      <c r="D722" s="309"/>
      <c r="E722" s="309"/>
      <c r="F722" s="309"/>
      <c r="G722" s="309"/>
      <c r="H722" s="309"/>
      <c r="I722" s="309"/>
    </row>
    <row r="723">
      <c r="D723" s="309"/>
      <c r="E723" s="309"/>
      <c r="F723" s="309"/>
      <c r="G723" s="309"/>
      <c r="H723" s="309"/>
      <c r="I723" s="309"/>
    </row>
    <row r="724">
      <c r="D724" s="309"/>
      <c r="E724" s="309"/>
      <c r="F724" s="309"/>
      <c r="G724" s="309"/>
      <c r="H724" s="309"/>
      <c r="I724" s="309"/>
    </row>
    <row r="725">
      <c r="D725" s="309"/>
      <c r="E725" s="309"/>
      <c r="F725" s="309"/>
      <c r="G725" s="309"/>
      <c r="H725" s="309"/>
      <c r="I725" s="309"/>
    </row>
    <row r="726">
      <c r="D726" s="309"/>
      <c r="E726" s="309"/>
      <c r="F726" s="309"/>
      <c r="G726" s="309"/>
      <c r="H726" s="309"/>
      <c r="I726" s="309"/>
    </row>
    <row r="727">
      <c r="D727" s="309"/>
      <c r="E727" s="309"/>
      <c r="F727" s="309"/>
      <c r="G727" s="309"/>
      <c r="H727" s="309"/>
      <c r="I727" s="309"/>
    </row>
    <row r="728">
      <c r="D728" s="309"/>
      <c r="E728" s="309"/>
      <c r="F728" s="309"/>
      <c r="G728" s="309"/>
      <c r="H728" s="309"/>
      <c r="I728" s="309"/>
    </row>
    <row r="729">
      <c r="D729" s="309"/>
      <c r="E729" s="309"/>
      <c r="F729" s="309"/>
      <c r="G729" s="309"/>
      <c r="H729" s="309"/>
      <c r="I729" s="309"/>
    </row>
    <row r="730">
      <c r="D730" s="309"/>
      <c r="E730" s="309"/>
      <c r="F730" s="309"/>
      <c r="G730" s="309"/>
      <c r="H730" s="309"/>
      <c r="I730" s="309"/>
    </row>
    <row r="731">
      <c r="D731" s="309"/>
      <c r="E731" s="309"/>
      <c r="F731" s="309"/>
      <c r="G731" s="309"/>
      <c r="H731" s="309"/>
      <c r="I731" s="309"/>
    </row>
    <row r="732">
      <c r="D732" s="309"/>
      <c r="E732" s="309"/>
      <c r="F732" s="309"/>
      <c r="G732" s="309"/>
      <c r="H732" s="309"/>
      <c r="I732" s="309"/>
    </row>
    <row r="733">
      <c r="D733" s="309"/>
      <c r="E733" s="309"/>
      <c r="F733" s="309"/>
      <c r="G733" s="309"/>
      <c r="H733" s="309"/>
      <c r="I733" s="309"/>
    </row>
    <row r="734">
      <c r="D734" s="309"/>
      <c r="E734" s="309"/>
      <c r="F734" s="309"/>
      <c r="G734" s="309"/>
      <c r="H734" s="309"/>
      <c r="I734" s="309"/>
    </row>
    <row r="735">
      <c r="D735" s="309"/>
      <c r="E735" s="309"/>
      <c r="F735" s="309"/>
      <c r="G735" s="309"/>
      <c r="H735" s="309"/>
      <c r="I735" s="309"/>
    </row>
    <row r="736">
      <c r="D736" s="309"/>
      <c r="E736" s="309"/>
      <c r="F736" s="309"/>
      <c r="G736" s="309"/>
      <c r="H736" s="309"/>
      <c r="I736" s="309"/>
    </row>
    <row r="737">
      <c r="D737" s="309"/>
      <c r="E737" s="309"/>
      <c r="F737" s="309"/>
      <c r="G737" s="309"/>
      <c r="H737" s="309"/>
      <c r="I737" s="309"/>
    </row>
    <row r="738">
      <c r="D738" s="309"/>
      <c r="E738" s="309"/>
      <c r="F738" s="309"/>
      <c r="G738" s="309"/>
      <c r="H738" s="309"/>
      <c r="I738" s="309"/>
    </row>
    <row r="739">
      <c r="D739" s="309"/>
      <c r="E739" s="309"/>
      <c r="F739" s="309"/>
      <c r="G739" s="309"/>
      <c r="H739" s="309"/>
      <c r="I739" s="309"/>
    </row>
    <row r="740">
      <c r="D740" s="309"/>
      <c r="E740" s="309"/>
      <c r="F740" s="309"/>
      <c r="G740" s="309"/>
      <c r="H740" s="309"/>
      <c r="I740" s="309"/>
    </row>
    <row r="741">
      <c r="D741" s="309"/>
      <c r="E741" s="309"/>
      <c r="F741" s="309"/>
      <c r="G741" s="309"/>
      <c r="H741" s="309"/>
      <c r="I741" s="309"/>
    </row>
    <row r="742">
      <c r="D742" s="309"/>
      <c r="E742" s="309"/>
      <c r="F742" s="309"/>
      <c r="G742" s="309"/>
      <c r="H742" s="309"/>
      <c r="I742" s="309"/>
    </row>
    <row r="743">
      <c r="D743" s="309"/>
      <c r="E743" s="309"/>
      <c r="F743" s="309"/>
      <c r="G743" s="309"/>
      <c r="H743" s="309"/>
      <c r="I743" s="309"/>
    </row>
    <row r="744">
      <c r="D744" s="309"/>
      <c r="E744" s="309"/>
      <c r="F744" s="309"/>
      <c r="G744" s="309"/>
      <c r="H744" s="309"/>
      <c r="I744" s="309"/>
    </row>
    <row r="745">
      <c r="D745" s="309"/>
      <c r="E745" s="309"/>
      <c r="F745" s="309"/>
      <c r="G745" s="309"/>
      <c r="H745" s="309"/>
      <c r="I745" s="309"/>
    </row>
    <row r="746">
      <c r="D746" s="309"/>
      <c r="E746" s="309"/>
      <c r="F746" s="309"/>
      <c r="G746" s="309"/>
      <c r="H746" s="309"/>
      <c r="I746" s="309"/>
    </row>
    <row r="747">
      <c r="D747" s="309"/>
      <c r="E747" s="309"/>
      <c r="F747" s="309"/>
      <c r="G747" s="309"/>
      <c r="H747" s="309"/>
      <c r="I747" s="309"/>
    </row>
    <row r="748">
      <c r="D748" s="309"/>
      <c r="E748" s="309"/>
      <c r="F748" s="309"/>
      <c r="G748" s="309"/>
      <c r="H748" s="309"/>
      <c r="I748" s="309"/>
    </row>
    <row r="749">
      <c r="D749" s="309"/>
      <c r="E749" s="309"/>
      <c r="F749" s="309"/>
      <c r="G749" s="309"/>
      <c r="H749" s="309"/>
      <c r="I749" s="309"/>
    </row>
    <row r="750">
      <c r="D750" s="309"/>
      <c r="E750" s="309"/>
      <c r="F750" s="309"/>
      <c r="G750" s="309"/>
      <c r="H750" s="309"/>
      <c r="I750" s="309"/>
    </row>
    <row r="751">
      <c r="D751" s="309"/>
      <c r="E751" s="309"/>
      <c r="F751" s="309"/>
      <c r="G751" s="309"/>
      <c r="H751" s="309"/>
      <c r="I751" s="309"/>
    </row>
    <row r="752">
      <c r="D752" s="309"/>
      <c r="E752" s="309"/>
      <c r="F752" s="309"/>
      <c r="G752" s="309"/>
      <c r="H752" s="309"/>
      <c r="I752" s="309"/>
    </row>
    <row r="753">
      <c r="D753" s="309"/>
      <c r="E753" s="309"/>
      <c r="F753" s="309"/>
      <c r="G753" s="309"/>
      <c r="H753" s="309"/>
      <c r="I753" s="309"/>
    </row>
    <row r="754">
      <c r="D754" s="309"/>
      <c r="E754" s="309"/>
      <c r="F754" s="309"/>
      <c r="G754" s="309"/>
      <c r="H754" s="309"/>
      <c r="I754" s="309"/>
    </row>
    <row r="755">
      <c r="D755" s="309"/>
      <c r="E755" s="309"/>
      <c r="F755" s="309"/>
      <c r="G755" s="309"/>
      <c r="H755" s="309"/>
      <c r="I755" s="309"/>
    </row>
    <row r="756">
      <c r="D756" s="309"/>
      <c r="E756" s="309"/>
      <c r="F756" s="309"/>
      <c r="G756" s="309"/>
      <c r="H756" s="309"/>
      <c r="I756" s="309"/>
    </row>
    <row r="757">
      <c r="D757" s="309"/>
      <c r="E757" s="309"/>
      <c r="F757" s="309"/>
      <c r="G757" s="309"/>
      <c r="H757" s="309"/>
      <c r="I757" s="309"/>
    </row>
    <row r="758">
      <c r="D758" s="309"/>
      <c r="E758" s="309"/>
      <c r="F758" s="309"/>
      <c r="G758" s="309"/>
      <c r="H758" s="309"/>
      <c r="I758" s="309"/>
    </row>
    <row r="759">
      <c r="D759" s="309"/>
      <c r="E759" s="309"/>
      <c r="F759" s="309"/>
      <c r="G759" s="309"/>
      <c r="H759" s="309"/>
      <c r="I759" s="309"/>
    </row>
    <row r="760">
      <c r="D760" s="309"/>
      <c r="E760" s="309"/>
      <c r="F760" s="309"/>
      <c r="G760" s="309"/>
      <c r="H760" s="309"/>
      <c r="I760" s="309"/>
    </row>
    <row r="761">
      <c r="D761" s="309"/>
      <c r="E761" s="309"/>
      <c r="F761" s="309"/>
      <c r="G761" s="309"/>
      <c r="H761" s="309"/>
      <c r="I761" s="309"/>
    </row>
    <row r="762">
      <c r="D762" s="309"/>
      <c r="E762" s="309"/>
      <c r="F762" s="309"/>
      <c r="G762" s="309"/>
      <c r="H762" s="309"/>
      <c r="I762" s="309"/>
    </row>
    <row r="763">
      <c r="D763" s="309"/>
      <c r="E763" s="309"/>
      <c r="F763" s="309"/>
      <c r="G763" s="309"/>
      <c r="H763" s="309"/>
      <c r="I763" s="309"/>
    </row>
    <row r="764">
      <c r="D764" s="309"/>
      <c r="E764" s="309"/>
      <c r="F764" s="309"/>
      <c r="G764" s="309"/>
      <c r="H764" s="309"/>
      <c r="I764" s="309"/>
    </row>
    <row r="765">
      <c r="D765" s="309"/>
      <c r="E765" s="309"/>
      <c r="F765" s="309"/>
      <c r="G765" s="309"/>
      <c r="H765" s="309"/>
      <c r="I765" s="309"/>
    </row>
    <row r="766">
      <c r="D766" s="309"/>
      <c r="E766" s="309"/>
      <c r="F766" s="309"/>
      <c r="G766" s="309"/>
      <c r="H766" s="309"/>
      <c r="I766" s="309"/>
    </row>
    <row r="767">
      <c r="D767" s="309"/>
      <c r="E767" s="309"/>
      <c r="F767" s="309"/>
      <c r="G767" s="309"/>
      <c r="H767" s="309"/>
      <c r="I767" s="309"/>
    </row>
    <row r="768">
      <c r="D768" s="309"/>
      <c r="E768" s="309"/>
      <c r="F768" s="309"/>
      <c r="G768" s="309"/>
      <c r="H768" s="309"/>
      <c r="I768" s="309"/>
    </row>
    <row r="769">
      <c r="D769" s="309"/>
      <c r="E769" s="309"/>
      <c r="F769" s="309"/>
      <c r="G769" s="309"/>
      <c r="H769" s="309"/>
      <c r="I769" s="309"/>
    </row>
  </sheetData>
  <mergeCells count="302">
    <mergeCell ref="D44:H44"/>
    <mergeCell ref="G45:H45"/>
    <mergeCell ref="G46:H46"/>
    <mergeCell ref="G47:H47"/>
    <mergeCell ref="G48:H48"/>
    <mergeCell ref="E49:H49"/>
    <mergeCell ref="E50:H50"/>
    <mergeCell ref="E51:F51"/>
    <mergeCell ref="E52:F52"/>
    <mergeCell ref="E53:F53"/>
    <mergeCell ref="D54:H54"/>
    <mergeCell ref="G55:H55"/>
    <mergeCell ref="G56:H56"/>
    <mergeCell ref="G57:H57"/>
    <mergeCell ref="C2:I2"/>
    <mergeCell ref="D3:H3"/>
    <mergeCell ref="D4:H4"/>
    <mergeCell ref="G5:H5"/>
    <mergeCell ref="G6:H6"/>
    <mergeCell ref="G7:H7"/>
    <mergeCell ref="G8:H8"/>
    <mergeCell ref="E9:H9"/>
    <mergeCell ref="E10:H10"/>
    <mergeCell ref="E11:F11"/>
    <mergeCell ref="E12:F12"/>
    <mergeCell ref="E13:F13"/>
    <mergeCell ref="D14:H14"/>
    <mergeCell ref="G15:H15"/>
    <mergeCell ref="G16:H16"/>
    <mergeCell ref="G17:H17"/>
    <mergeCell ref="G18:H18"/>
    <mergeCell ref="E19:H19"/>
    <mergeCell ref="E20:H20"/>
    <mergeCell ref="E21:F21"/>
    <mergeCell ref="E22:F22"/>
    <mergeCell ref="E23:F23"/>
    <mergeCell ref="D24:H24"/>
    <mergeCell ref="G25:H25"/>
    <mergeCell ref="G26:H26"/>
    <mergeCell ref="G27:H27"/>
    <mergeCell ref="G28:H28"/>
    <mergeCell ref="E29:H29"/>
    <mergeCell ref="E30:H30"/>
    <mergeCell ref="E31:F31"/>
    <mergeCell ref="E32:F32"/>
    <mergeCell ref="E33:F33"/>
    <mergeCell ref="D34:H34"/>
    <mergeCell ref="G35:H35"/>
    <mergeCell ref="G36:H36"/>
    <mergeCell ref="G37:H37"/>
    <mergeCell ref="G38:H38"/>
    <mergeCell ref="E39:H39"/>
    <mergeCell ref="E40:H40"/>
    <mergeCell ref="E41:F41"/>
    <mergeCell ref="E42:F42"/>
    <mergeCell ref="E43:F43"/>
    <mergeCell ref="G58:H58"/>
    <mergeCell ref="E59:H59"/>
    <mergeCell ref="E60:H60"/>
    <mergeCell ref="E61:F61"/>
    <mergeCell ref="E62:F62"/>
    <mergeCell ref="E63:F63"/>
    <mergeCell ref="D64:H64"/>
    <mergeCell ref="G65:H65"/>
    <mergeCell ref="G66:H66"/>
    <mergeCell ref="G67:H67"/>
    <mergeCell ref="G68:H68"/>
    <mergeCell ref="E69:H69"/>
    <mergeCell ref="E70:H70"/>
    <mergeCell ref="E71:F71"/>
    <mergeCell ref="E72:F72"/>
    <mergeCell ref="E73:F73"/>
    <mergeCell ref="D74:H74"/>
    <mergeCell ref="G75:H75"/>
    <mergeCell ref="G76:H76"/>
    <mergeCell ref="G77:H77"/>
    <mergeCell ref="G78:H78"/>
    <mergeCell ref="E79:H79"/>
    <mergeCell ref="E80:H80"/>
    <mergeCell ref="E81:F81"/>
    <mergeCell ref="E82:F82"/>
    <mergeCell ref="E83:F83"/>
    <mergeCell ref="D84:H84"/>
    <mergeCell ref="G85:H85"/>
    <mergeCell ref="G86:H86"/>
    <mergeCell ref="G87:H87"/>
    <mergeCell ref="G88:H88"/>
    <mergeCell ref="E89:H89"/>
    <mergeCell ref="E90:H90"/>
    <mergeCell ref="E91:F91"/>
    <mergeCell ref="E92:F92"/>
    <mergeCell ref="E93:F93"/>
    <mergeCell ref="D94:H94"/>
    <mergeCell ref="G95:H95"/>
    <mergeCell ref="G96:H96"/>
    <mergeCell ref="G97:H97"/>
    <mergeCell ref="G98:H98"/>
    <mergeCell ref="E99:H99"/>
    <mergeCell ref="E100:H100"/>
    <mergeCell ref="E101:F101"/>
    <mergeCell ref="E102:F102"/>
    <mergeCell ref="E103:F103"/>
    <mergeCell ref="D104:H104"/>
    <mergeCell ref="G105:H105"/>
    <mergeCell ref="G106:H106"/>
    <mergeCell ref="G107:H107"/>
    <mergeCell ref="G108:H108"/>
    <mergeCell ref="E109:H109"/>
    <mergeCell ref="E110:H110"/>
    <mergeCell ref="E111:F111"/>
    <mergeCell ref="E112:F112"/>
    <mergeCell ref="E113:F113"/>
    <mergeCell ref="D114:H114"/>
    <mergeCell ref="G115:H115"/>
    <mergeCell ref="G116:H116"/>
    <mergeCell ref="G117:H117"/>
    <mergeCell ref="G118:H118"/>
    <mergeCell ref="E119:H119"/>
    <mergeCell ref="E120:H120"/>
    <mergeCell ref="E121:F121"/>
    <mergeCell ref="E122:F122"/>
    <mergeCell ref="E123:F123"/>
    <mergeCell ref="D124:H124"/>
    <mergeCell ref="G125:H125"/>
    <mergeCell ref="G126:H126"/>
    <mergeCell ref="G127:H127"/>
    <mergeCell ref="G128:H128"/>
    <mergeCell ref="E129:H129"/>
    <mergeCell ref="E130:H130"/>
    <mergeCell ref="E131:F131"/>
    <mergeCell ref="E132:F132"/>
    <mergeCell ref="E133:F133"/>
    <mergeCell ref="D134:H134"/>
    <mergeCell ref="G135:H135"/>
    <mergeCell ref="G136:H136"/>
    <mergeCell ref="G137:H137"/>
    <mergeCell ref="G138:H138"/>
    <mergeCell ref="E139:H139"/>
    <mergeCell ref="E140:H140"/>
    <mergeCell ref="E141:F141"/>
    <mergeCell ref="E142:F142"/>
    <mergeCell ref="E143:F143"/>
    <mergeCell ref="D144:H144"/>
    <mergeCell ref="G145:H145"/>
    <mergeCell ref="G146:H146"/>
    <mergeCell ref="G147:H147"/>
    <mergeCell ref="G148:H148"/>
    <mergeCell ref="E149:H149"/>
    <mergeCell ref="E150:H150"/>
    <mergeCell ref="E151:F151"/>
    <mergeCell ref="E152:F152"/>
    <mergeCell ref="E153:F153"/>
    <mergeCell ref="D154:H154"/>
    <mergeCell ref="G155:H155"/>
    <mergeCell ref="G156:H156"/>
    <mergeCell ref="G157:H157"/>
    <mergeCell ref="G158:H158"/>
    <mergeCell ref="E159:H159"/>
    <mergeCell ref="E160:H160"/>
    <mergeCell ref="E161:F161"/>
    <mergeCell ref="E162:F162"/>
    <mergeCell ref="E163:F163"/>
    <mergeCell ref="D164:H164"/>
    <mergeCell ref="G165:H165"/>
    <mergeCell ref="G166:H166"/>
    <mergeCell ref="G167:H167"/>
    <mergeCell ref="G168:H168"/>
    <mergeCell ref="E169:H169"/>
    <mergeCell ref="E170:H170"/>
    <mergeCell ref="E171:F171"/>
    <mergeCell ref="E172:F172"/>
    <mergeCell ref="E173:F173"/>
    <mergeCell ref="D174:H174"/>
    <mergeCell ref="G175:H175"/>
    <mergeCell ref="G176:H176"/>
    <mergeCell ref="G177:H177"/>
    <mergeCell ref="G178:H178"/>
    <mergeCell ref="E179:H179"/>
    <mergeCell ref="E180:H180"/>
    <mergeCell ref="E181:F181"/>
    <mergeCell ref="E182:F182"/>
    <mergeCell ref="E183:F183"/>
    <mergeCell ref="D184:H184"/>
    <mergeCell ref="G185:H185"/>
    <mergeCell ref="G186:H186"/>
    <mergeCell ref="G187:H187"/>
    <mergeCell ref="G188:H188"/>
    <mergeCell ref="E189:H189"/>
    <mergeCell ref="E190:H190"/>
    <mergeCell ref="E191:F191"/>
    <mergeCell ref="E192:F192"/>
    <mergeCell ref="E193:F193"/>
    <mergeCell ref="D194:H194"/>
    <mergeCell ref="G195:H195"/>
    <mergeCell ref="G196:H196"/>
    <mergeCell ref="G197:H197"/>
    <mergeCell ref="G198:H198"/>
    <mergeCell ref="E199:H199"/>
    <mergeCell ref="E200:H200"/>
    <mergeCell ref="E201:F201"/>
    <mergeCell ref="E202:F202"/>
    <mergeCell ref="E203:F203"/>
    <mergeCell ref="D204:H204"/>
    <mergeCell ref="G205:H205"/>
    <mergeCell ref="G206:H206"/>
    <mergeCell ref="G207:H207"/>
    <mergeCell ref="G208:H208"/>
    <mergeCell ref="E209:H209"/>
    <mergeCell ref="E210:H210"/>
    <mergeCell ref="E211:F211"/>
    <mergeCell ref="D254:H254"/>
    <mergeCell ref="G255:H255"/>
    <mergeCell ref="G256:H256"/>
    <mergeCell ref="G257:H257"/>
    <mergeCell ref="G258:H258"/>
    <mergeCell ref="E259:H259"/>
    <mergeCell ref="E260:H260"/>
    <mergeCell ref="E261:F261"/>
    <mergeCell ref="E262:F262"/>
    <mergeCell ref="E263:F263"/>
    <mergeCell ref="D264:H264"/>
    <mergeCell ref="G265:H265"/>
    <mergeCell ref="G266:H266"/>
    <mergeCell ref="G267:H267"/>
    <mergeCell ref="G275:H275"/>
    <mergeCell ref="G276:H276"/>
    <mergeCell ref="G277:H277"/>
    <mergeCell ref="G278:H278"/>
    <mergeCell ref="E279:H279"/>
    <mergeCell ref="E280:H280"/>
    <mergeCell ref="E281:F281"/>
    <mergeCell ref="E282:F282"/>
    <mergeCell ref="E283:F283"/>
    <mergeCell ref="D284:H284"/>
    <mergeCell ref="G285:H285"/>
    <mergeCell ref="G286:H286"/>
    <mergeCell ref="G287:H287"/>
    <mergeCell ref="G288:H288"/>
    <mergeCell ref="G296:H296"/>
    <mergeCell ref="G297:H297"/>
    <mergeCell ref="G298:H298"/>
    <mergeCell ref="E299:H299"/>
    <mergeCell ref="E300:H300"/>
    <mergeCell ref="E301:F301"/>
    <mergeCell ref="E302:F302"/>
    <mergeCell ref="E303:F303"/>
    <mergeCell ref="E289:H289"/>
    <mergeCell ref="E290:H290"/>
    <mergeCell ref="E291:F291"/>
    <mergeCell ref="E292:F292"/>
    <mergeCell ref="E293:F293"/>
    <mergeCell ref="D294:H294"/>
    <mergeCell ref="G295:H295"/>
    <mergeCell ref="E212:F212"/>
    <mergeCell ref="E213:F213"/>
    <mergeCell ref="D214:H214"/>
    <mergeCell ref="G215:H215"/>
    <mergeCell ref="G216:H216"/>
    <mergeCell ref="G217:H217"/>
    <mergeCell ref="G218:H218"/>
    <mergeCell ref="E219:H219"/>
    <mergeCell ref="E220:H220"/>
    <mergeCell ref="E221:F221"/>
    <mergeCell ref="E222:F222"/>
    <mergeCell ref="E223:F223"/>
    <mergeCell ref="D224:H224"/>
    <mergeCell ref="G225:H225"/>
    <mergeCell ref="G226:H226"/>
    <mergeCell ref="G227:H227"/>
    <mergeCell ref="G228:H228"/>
    <mergeCell ref="E229:H229"/>
    <mergeCell ref="E230:H230"/>
    <mergeCell ref="E231:F231"/>
    <mergeCell ref="E232:F232"/>
    <mergeCell ref="E233:F233"/>
    <mergeCell ref="D234:H234"/>
    <mergeCell ref="G235:H235"/>
    <mergeCell ref="G236:H236"/>
    <mergeCell ref="G237:H237"/>
    <mergeCell ref="G238:H238"/>
    <mergeCell ref="E239:H239"/>
    <mergeCell ref="E240:H240"/>
    <mergeCell ref="E241:F241"/>
    <mergeCell ref="E242:F242"/>
    <mergeCell ref="E243:F243"/>
    <mergeCell ref="D244:H244"/>
    <mergeCell ref="G245:H245"/>
    <mergeCell ref="G246:H246"/>
    <mergeCell ref="G247:H247"/>
    <mergeCell ref="G248:H248"/>
    <mergeCell ref="E249:H249"/>
    <mergeCell ref="E250:H250"/>
    <mergeCell ref="E251:F251"/>
    <mergeCell ref="E252:F252"/>
    <mergeCell ref="E253:F253"/>
    <mergeCell ref="G268:H268"/>
    <mergeCell ref="E269:H269"/>
    <mergeCell ref="E270:H270"/>
    <mergeCell ref="E271:F271"/>
    <mergeCell ref="E272:F272"/>
    <mergeCell ref="E273:F273"/>
    <mergeCell ref="D274:H274"/>
  </mergeCells>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3" priority="1" operator="equal">
      <formula>"A"</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4" priority="2" operator="equal">
      <formula>"B"</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5" priority="3" operator="equal">
      <formula>"C1"</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6" priority="4" operator="equal">
      <formula>"C2"</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7" priority="5" operator="equal">
      <formula>"D"</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8" priority="6" operator="equal">
      <formula>"R"</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9" priority="7" operator="equal">
      <formula>"N"</formula>
    </cfRule>
  </conditionalFormatting>
  <printOptions gridLines="1" horizontalCentered="1"/>
  <pageMargins bottom="0.75" footer="0.0" header="0.0" left="0.7" right="0.7" top="0.75"/>
  <pageSetup fitToHeight="0" paperSize="9" cellComments="atEnd" orientation="portrait" pageOrder="overThenDown"/>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1" width="4.25"/>
    <col customWidth="1" hidden="1" min="2" max="2" width="7.13"/>
    <col customWidth="1" min="3" max="3" width="1.75"/>
    <col customWidth="1" min="4" max="8" width="6.38"/>
    <col customWidth="1" min="9" max="9" width="0.38"/>
  </cols>
  <sheetData>
    <row r="1" ht="25.5" hidden="1" customHeight="1"/>
    <row r="2" ht="6.0" customHeight="1">
      <c r="B2" s="268"/>
      <c r="C2" s="268"/>
    </row>
    <row r="3" ht="48.0" customHeight="1">
      <c r="D3" s="316" t="s">
        <v>118</v>
      </c>
    </row>
    <row r="4" ht="20.25" customHeight="1">
      <c r="D4" s="270">
        <f>NOW()</f>
        <v>46082.17201</v>
      </c>
    </row>
    <row r="5" ht="27.0" customHeight="1">
      <c r="A5" s="86" t="s">
        <v>72</v>
      </c>
      <c r="B5" s="86">
        <v>1.0</v>
      </c>
      <c r="D5" s="271" t="s">
        <v>80</v>
      </c>
      <c r="E5" s="272" t="s">
        <v>81</v>
      </c>
      <c r="F5" s="272" t="s">
        <v>82</v>
      </c>
      <c r="G5" s="273" t="s">
        <v>49</v>
      </c>
      <c r="H5" s="274"/>
    </row>
    <row r="6" ht="27.0" customHeight="1">
      <c r="A6" s="86"/>
      <c r="B6" s="86" t="s">
        <v>116</v>
      </c>
      <c r="D6" s="275" t="str">
        <f t="array" ref="D6">IFERROR(INDEX('計測入力シート（ここのみ編集可）'!$BN$17:$BN$116,MATCH(A5&amp;B5,'計測入力シート（ここのみ編集可）'!$BO$17:$BO$116,0)),"")</f>
        <v/>
      </c>
      <c r="E6" s="276" t="str">
        <f t="array" ref="E6">IFERROR(INDEX('計測入力シート（ここのみ編集可）'!$BP$17:$BP$116,MATCH(A5&amp;B5,'計測入力シート（ここのみ編集可）'!$BO$17:$BO$116,0)),"")</f>
        <v/>
      </c>
      <c r="F6" s="277" t="str">
        <f t="array" ref="F6">IFERROR(INDEX('計測入力シート（ここのみ編集可）'!$BR$17:$BR$116,MATCH(A5&amp;B5,'計測入力シート（ここのみ編集可）'!$BO$17:$BO$116,0)),"")</f>
        <v/>
      </c>
      <c r="G6" s="278" t="str">
        <f t="array" ref="G6">IFERROR(INDEX('計測入力シート（ここのみ編集可）'!$BL$17:$BL$116,MATCH(A5&amp;B5,'計測入力シート（ここのみ編集可）'!$BO$17:$BO$116,0)),"")</f>
        <v/>
      </c>
      <c r="H6" s="279"/>
    </row>
    <row r="7" ht="27.0" customHeight="1">
      <c r="D7" s="280" t="s">
        <v>2</v>
      </c>
      <c r="E7" s="281" t="str">
        <f t="array" ref="E7">IFERROR(INDEX('計測入力シート（ここのみ編集可）'!$C$17:$C$116,MATCH(A5&amp;B5,'計測入力シート（ここのみ編集可）'!$BO$17:$BO$116,0)),"")</f>
        <v/>
      </c>
      <c r="F7" s="317" t="s">
        <v>17</v>
      </c>
      <c r="G7" s="283" t="str">
        <f t="array" ref="G7">IFERROR(INDEX('計測入力シート（ここのみ編集可）'!$D$17:$D$116,MATCH(A5&amp;B5,'計測入力シート（ここのみ編集可）'!$BO$17:$BO$116,0)),"")</f>
        <v/>
      </c>
      <c r="H7" s="284"/>
    </row>
    <row r="8" ht="27.0" customHeight="1">
      <c r="D8" s="285" t="s">
        <v>1</v>
      </c>
      <c r="E8" s="286" t="str">
        <f t="array" ref="E8">IFERROR(INDEX('計測入力シート（ここのみ編集可）'!$B$17:$B$116,MATCH(A5&amp;B5,'計測入力シート（ここのみ編集可）'!$BO$17:$BO$116,0)),"")</f>
        <v/>
      </c>
      <c r="F8" s="318" t="s">
        <v>18</v>
      </c>
      <c r="G8" s="288" t="str">
        <f t="array" ref="G8">IFERROR(INDEX('計測入力シート（ここのみ編集可）'!$E$17:$E$116,MATCH(A5&amp;B5,'計測入力シート（ここのみ編集可）'!$BO$17:$BO$116,0)),"")</f>
        <v/>
      </c>
      <c r="H8" s="289"/>
    </row>
    <row r="9" ht="24.75" customHeight="1">
      <c r="D9" s="290" t="s">
        <v>92</v>
      </c>
      <c r="E9" s="291" t="str">
        <f t="array" ref="E9">IFERROR(INDEX(#REF!,MATCH(A5&amp;B5,'計測入力シート（ここのみ編集可）'!$BO$17:$BO$116,0)),"")</f>
        <v/>
      </c>
      <c r="H9" s="232"/>
    </row>
    <row r="10" ht="52.5" customHeight="1">
      <c r="D10" s="292" t="s">
        <v>100</v>
      </c>
      <c r="E10" s="293" t="str">
        <f t="array" ref="E10">IFERROR(INDEX(#REF!,MATCH(A5&amp;B5,'計測入力シート（ここのみ編集可）'!$BO$17:$BO$116,0)),"")</f>
        <v/>
      </c>
      <c r="F10" s="95"/>
      <c r="G10" s="95"/>
      <c r="H10" s="96"/>
    </row>
    <row r="11" ht="20.25" customHeight="1">
      <c r="D11" s="294" t="s">
        <v>39</v>
      </c>
      <c r="E11" s="295" t="str">
        <f t="array" ref="E11">IFERROR(INDEX('計測入力シート（ここのみ編集可）'!$AW$17:$AW$116,MATCH(A5&amp;B5,'計測入力シート（ここのみ編集可）'!$BO$17:$BO$116,0)),"")</f>
        <v/>
      </c>
      <c r="F11" s="296"/>
      <c r="G11" s="297" t="s">
        <v>110</v>
      </c>
      <c r="H11" s="298" t="str">
        <f t="array" ref="H11">IFERROR(INDEX('計測入力シート（ここのみ編集可）'!$AY$17:$AY$116,MATCH(A5&amp;B5,'計測入力シート（ここのみ編集可）'!$BO$17:$BO$116,0)),"")</f>
        <v/>
      </c>
    </row>
    <row r="12" ht="20.25" customHeight="1">
      <c r="D12" s="299" t="s">
        <v>42</v>
      </c>
      <c r="E12" s="300" t="str">
        <f t="array" ref="E12">IFERROR(INDEX('計測入力シート（ここのみ編集可）'!$AZ$17:$AZ$116,MATCH(A5&amp;B5,'計測入力シート（ここのみ編集可）'!$BO$17:$BO$116,0)),"")</f>
        <v/>
      </c>
      <c r="F12" s="116"/>
      <c r="G12" s="301" t="s">
        <v>111</v>
      </c>
      <c r="H12" s="302" t="str">
        <f t="array" ref="H12">IFERROR(INDEX('計測入力シート（ここのみ編集可）'!$BB$17:$BB$116,MATCH(A5&amp;B5,'計測入力シート（ここのみ編集可）'!$BO$17:$BO$116,0)),"")</f>
        <v/>
      </c>
    </row>
    <row r="13" ht="20.25" customHeight="1">
      <c r="D13" s="303" t="s">
        <v>112</v>
      </c>
      <c r="E13" s="304" t="str">
        <f t="array" ref="E13">IFERROR(INDEX('計測入力シート（ここのみ編集可）'!$BC$17:$BC$116,MATCH(A5&amp;B5,'計測入力シート（ここのみ編集可）'!$BO$17:$BO$116,0)),"")</f>
        <v/>
      </c>
      <c r="F13" s="305"/>
      <c r="G13" s="306" t="s">
        <v>25</v>
      </c>
      <c r="H13" s="307" t="str">
        <f t="array" ref="H13">IFERROR(INDEX('計測入力シート（ここのみ編集可）'!$BD$17:$BD$116,MATCH(A5&amp;B5,'計測入力シート（ここのみ編集可）'!$BO$17:$BO$116,0)),"")</f>
        <v/>
      </c>
    </row>
    <row r="14" ht="20.25" customHeight="1">
      <c r="D14" s="308"/>
    </row>
    <row r="15" ht="27.0" customHeight="1">
      <c r="A15" s="52" t="str">
        <f>A5</f>
        <v>NL</v>
      </c>
      <c r="B15" s="52">
        <f>B5+1</f>
        <v>2</v>
      </c>
      <c r="D15" s="271" t="s">
        <v>80</v>
      </c>
      <c r="E15" s="272" t="s">
        <v>81</v>
      </c>
      <c r="F15" s="272" t="s">
        <v>82</v>
      </c>
      <c r="G15" s="273" t="s">
        <v>49</v>
      </c>
      <c r="H15" s="274"/>
    </row>
    <row r="16" ht="27.0" customHeight="1">
      <c r="A16" s="86"/>
      <c r="B16" s="86"/>
      <c r="D16" s="275" t="str">
        <f t="array" ref="D16">IFERROR(INDEX('計測入力シート（ここのみ編集可）'!$BN$17:$BN$116,MATCH(A15&amp;B15,'計測入力シート（ここのみ編集可）'!$BO$17:$BO$116,0)),"")</f>
        <v/>
      </c>
      <c r="E16" s="276" t="str">
        <f t="array" ref="E16">IFERROR(INDEX('計測入力シート（ここのみ編集可）'!$BP$17:$BP$116,MATCH(A15&amp;B15,'計測入力シート（ここのみ編集可）'!$BO$17:$BO$116,0)),"")</f>
        <v/>
      </c>
      <c r="F16" s="277" t="str">
        <f t="array" ref="F16">IFERROR(INDEX('計測入力シート（ここのみ編集可）'!$BR$17:$BR$116,MATCH(A15&amp;B15,'計測入力シート（ここのみ編集可）'!$BO$17:$BO$116,0)),"")</f>
        <v/>
      </c>
      <c r="G16" s="278" t="str">
        <f t="array" ref="G16">IFERROR(INDEX('計測入力シート（ここのみ編集可）'!$BL$17:$BL$116,MATCH(A15&amp;B15,'計測入力シート（ここのみ編集可）'!$BO$17:$BO$116,0)),"")</f>
        <v/>
      </c>
      <c r="H16" s="279"/>
    </row>
    <row r="17" ht="27.0" customHeight="1">
      <c r="D17" s="280" t="s">
        <v>2</v>
      </c>
      <c r="E17" s="281" t="str">
        <f t="array" ref="E17">IFERROR(INDEX('計測入力シート（ここのみ編集可）'!$C$17:$C$116,MATCH(A15&amp;B15,'計測入力シート（ここのみ編集可）'!$BO$17:$BO$116,0)),"")</f>
        <v/>
      </c>
      <c r="F17" s="317" t="s">
        <v>17</v>
      </c>
      <c r="G17" s="283" t="str">
        <f t="array" ref="G17">IFERROR(INDEX('計測入力シート（ここのみ編集可）'!$D$17:$D$116,MATCH(A15&amp;B15,'計測入力シート（ここのみ編集可）'!$BO$17:$BO$116,0)),"")</f>
        <v/>
      </c>
      <c r="H17" s="284"/>
    </row>
    <row r="18" ht="27.0" customHeight="1">
      <c r="D18" s="285" t="s">
        <v>1</v>
      </c>
      <c r="E18" s="286" t="str">
        <f t="array" ref="E18">IFERROR(INDEX('計測入力シート（ここのみ編集可）'!$B$17:$B$116,MATCH(A15&amp;B15,'計測入力シート（ここのみ編集可）'!$BO$17:$BO$116,0)),"")</f>
        <v/>
      </c>
      <c r="F18" s="318" t="s">
        <v>18</v>
      </c>
      <c r="G18" s="288" t="str">
        <f t="array" ref="G18">IFERROR(INDEX('計測入力シート（ここのみ編集可）'!$E$17:$E$116,MATCH(A15&amp;B15,'計測入力シート（ここのみ編集可）'!$BO$17:$BO$116,0)),"")</f>
        <v/>
      </c>
      <c r="H18" s="289"/>
    </row>
    <row r="19" ht="24.75" customHeight="1">
      <c r="D19" s="290" t="s">
        <v>92</v>
      </c>
      <c r="E19" s="291" t="str">
        <f t="array" ref="E19">IFERROR(INDEX(#REF!,MATCH(A15&amp;B15,'計測入力シート（ここのみ編集可）'!$BO$17:$BO$116,0)),"")</f>
        <v/>
      </c>
      <c r="H19" s="232"/>
    </row>
    <row r="20" ht="52.5" customHeight="1">
      <c r="D20" s="292" t="s">
        <v>100</v>
      </c>
      <c r="E20" s="293" t="str">
        <f t="array" ref="E20">IFERROR(INDEX(#REF!,MATCH(A15&amp;B15,'計測入力シート（ここのみ編集可）'!$BO$17:$BO$116,0)),"")</f>
        <v/>
      </c>
      <c r="F20" s="95"/>
      <c r="G20" s="95"/>
      <c r="H20" s="96"/>
    </row>
    <row r="21" ht="20.25" customHeight="1">
      <c r="D21" s="294" t="s">
        <v>39</v>
      </c>
      <c r="E21" s="295" t="str">
        <f t="array" ref="E21">IFERROR(INDEX('計測入力シート（ここのみ編集可）'!$AW$17:$AW$116,MATCH(A15&amp;B15,'計測入力シート（ここのみ編集可）'!$BO$17:$BO$116,0)),"")</f>
        <v/>
      </c>
      <c r="F21" s="296"/>
      <c r="G21" s="297" t="s">
        <v>110</v>
      </c>
      <c r="H21" s="298" t="str">
        <f t="array" ref="H21">IFERROR(INDEX('計測入力シート（ここのみ編集可）'!$AY$17:$AY$116,MATCH(A15&amp;B15,'計測入力シート（ここのみ編集可）'!$BO$17:$BO$116,0)),"")</f>
        <v/>
      </c>
    </row>
    <row r="22" ht="20.25" customHeight="1">
      <c r="D22" s="299" t="s">
        <v>42</v>
      </c>
      <c r="E22" s="300" t="str">
        <f t="array" ref="E22">IFERROR(INDEX('計測入力シート（ここのみ編集可）'!$AZ$17:$AZ$116,MATCH(A15&amp;B15,'計測入力シート（ここのみ編集可）'!$BO$17:$BO$116,0)),"")</f>
        <v/>
      </c>
      <c r="F22" s="116"/>
      <c r="G22" s="301" t="s">
        <v>111</v>
      </c>
      <c r="H22" s="302" t="str">
        <f t="array" ref="H22">IFERROR(INDEX('計測入力シート（ここのみ編集可）'!$BB$17:$BB$116,MATCH(A15&amp;B15,'計測入力シート（ここのみ編集可）'!$BO$17:$BO$116,0)),"")</f>
        <v/>
      </c>
    </row>
    <row r="23" ht="20.25" customHeight="1">
      <c r="D23" s="303" t="s">
        <v>112</v>
      </c>
      <c r="E23" s="304" t="str">
        <f t="array" ref="E23">IFERROR(INDEX('計測入力シート（ここのみ編集可）'!$BC$17:$BC$116,MATCH(A15&amp;B15,'計測入力シート（ここのみ編集可）'!$BO$17:$BO$116,0)),"")</f>
        <v/>
      </c>
      <c r="F23" s="305"/>
      <c r="G23" s="306" t="s">
        <v>25</v>
      </c>
      <c r="H23" s="307" t="str">
        <f t="array" ref="H23">IFERROR(INDEX('計測入力シート（ここのみ編集可）'!$BD$17:$BD$116,MATCH(A15&amp;B15,'計測入力シート（ここのみ編集可）'!$BO$17:$BO$116,0)),"")</f>
        <v/>
      </c>
    </row>
    <row r="24" ht="20.25" customHeight="1">
      <c r="D24" s="308"/>
    </row>
    <row r="25" ht="27.0" customHeight="1">
      <c r="A25" s="52" t="str">
        <f>A15</f>
        <v>NL</v>
      </c>
      <c r="B25" s="52">
        <f>B15+1</f>
        <v>3</v>
      </c>
      <c r="D25" s="271" t="s">
        <v>80</v>
      </c>
      <c r="E25" s="272" t="s">
        <v>81</v>
      </c>
      <c r="F25" s="272" t="s">
        <v>82</v>
      </c>
      <c r="G25" s="273" t="s">
        <v>49</v>
      </c>
      <c r="H25" s="274"/>
    </row>
    <row r="26" ht="27.0" customHeight="1">
      <c r="A26" s="86"/>
      <c r="B26" s="86"/>
      <c r="D26" s="275" t="str">
        <f t="array" ref="D26">IFERROR(INDEX('計測入力シート（ここのみ編集可）'!$BN$17:$BN$116,MATCH(A25&amp;B25,'計測入力シート（ここのみ編集可）'!$BO$17:$BO$116,0)),"")</f>
        <v/>
      </c>
      <c r="E26" s="276" t="str">
        <f t="array" ref="E26">IFERROR(INDEX('計測入力シート（ここのみ編集可）'!$BP$17:$BP$116,MATCH(A25&amp;B25,'計測入力シート（ここのみ編集可）'!$BO$17:$BO$116,0)),"")</f>
        <v/>
      </c>
      <c r="F26" s="277" t="str">
        <f t="array" ref="F26">IFERROR(INDEX('計測入力シート（ここのみ編集可）'!$BR$17:$BR$116,MATCH(A25&amp;B25,'計測入力シート（ここのみ編集可）'!$BO$17:$BO$116,0)),"")</f>
        <v/>
      </c>
      <c r="G26" s="278" t="str">
        <f t="array" ref="G26">IFERROR(INDEX('計測入力シート（ここのみ編集可）'!$BL$17:$BL$116,MATCH(A25&amp;B25,'計測入力シート（ここのみ編集可）'!$BO$17:$BO$116,0)),"")</f>
        <v/>
      </c>
      <c r="H26" s="279"/>
    </row>
    <row r="27" ht="27.0" customHeight="1">
      <c r="D27" s="280" t="s">
        <v>2</v>
      </c>
      <c r="E27" s="281" t="str">
        <f t="array" ref="E27">IFERROR(INDEX('計測入力シート（ここのみ編集可）'!$C$17:$C$116,MATCH(A25&amp;B25,'計測入力シート（ここのみ編集可）'!$BO$17:$BO$116,0)),"")</f>
        <v/>
      </c>
      <c r="F27" s="317" t="s">
        <v>17</v>
      </c>
      <c r="G27" s="283" t="str">
        <f t="array" ref="G27">IFERROR(INDEX('計測入力シート（ここのみ編集可）'!$D$17:$D$116,MATCH(A25&amp;B25,'計測入力シート（ここのみ編集可）'!$BO$17:$BO$116,0)),"")</f>
        <v/>
      </c>
      <c r="H27" s="284"/>
    </row>
    <row r="28" ht="27.0" customHeight="1">
      <c r="D28" s="285" t="s">
        <v>1</v>
      </c>
      <c r="E28" s="286" t="str">
        <f t="array" ref="E28">IFERROR(INDEX('計測入力シート（ここのみ編集可）'!$B$17:$B$116,MATCH(A25&amp;B25,'計測入力シート（ここのみ編集可）'!$BO$17:$BO$116,0)),"")</f>
        <v/>
      </c>
      <c r="F28" s="318" t="s">
        <v>18</v>
      </c>
      <c r="G28" s="288" t="str">
        <f t="array" ref="G28">IFERROR(INDEX('計測入力シート（ここのみ編集可）'!$E$17:$E$116,MATCH(A25&amp;B25,'計測入力シート（ここのみ編集可）'!$BO$17:$BO$116,0)),"")</f>
        <v/>
      </c>
      <c r="H28" s="289"/>
    </row>
    <row r="29" ht="24.75" customHeight="1">
      <c r="D29" s="290" t="s">
        <v>92</v>
      </c>
      <c r="E29" s="291" t="str">
        <f t="array" ref="E29">IFERROR(INDEX(#REF!,MATCH(A25&amp;B25,'計測入力シート（ここのみ編集可）'!$BO$17:$BO$116,0)),"")</f>
        <v/>
      </c>
      <c r="H29" s="232"/>
    </row>
    <row r="30" ht="52.5" customHeight="1">
      <c r="D30" s="292" t="s">
        <v>100</v>
      </c>
      <c r="E30" s="293" t="str">
        <f t="array" ref="E30">IFERROR(INDEX(#REF!,MATCH(A25&amp;B25,'計測入力シート（ここのみ編集可）'!$BO$17:$BO$116,0)),"")</f>
        <v/>
      </c>
      <c r="F30" s="95"/>
      <c r="G30" s="95"/>
      <c r="H30" s="96"/>
    </row>
    <row r="31" ht="20.25" customHeight="1">
      <c r="D31" s="294" t="s">
        <v>39</v>
      </c>
      <c r="E31" s="295" t="str">
        <f t="array" ref="E31">IFERROR(INDEX('計測入力シート（ここのみ編集可）'!$AW$17:$AW$116,MATCH(A25&amp;B25,'計測入力シート（ここのみ編集可）'!$BO$17:$BO$116,0)),"")</f>
        <v/>
      </c>
      <c r="F31" s="296"/>
      <c r="G31" s="297" t="s">
        <v>110</v>
      </c>
      <c r="H31" s="298" t="str">
        <f t="array" ref="H31">IFERROR(INDEX('計測入力シート（ここのみ編集可）'!$AY$17:$AY$116,MATCH(A25&amp;B25,'計測入力シート（ここのみ編集可）'!$BO$17:$BO$116,0)),"")</f>
        <v/>
      </c>
    </row>
    <row r="32" ht="20.25" customHeight="1">
      <c r="D32" s="299" t="s">
        <v>42</v>
      </c>
      <c r="E32" s="300" t="str">
        <f t="array" ref="E32">IFERROR(INDEX('計測入力シート（ここのみ編集可）'!$AZ$17:$AZ$116,MATCH(A25&amp;B25,'計測入力シート（ここのみ編集可）'!$BO$17:$BO$116,0)),"")</f>
        <v/>
      </c>
      <c r="F32" s="116"/>
      <c r="G32" s="301" t="s">
        <v>111</v>
      </c>
      <c r="H32" s="302" t="str">
        <f t="array" ref="H32">IFERROR(INDEX('計測入力シート（ここのみ編集可）'!$BB$17:$BB$116,MATCH(A25&amp;B25,'計測入力シート（ここのみ編集可）'!$BO$17:$BO$116,0)),"")</f>
        <v/>
      </c>
    </row>
    <row r="33" ht="20.25" customHeight="1">
      <c r="D33" s="303" t="s">
        <v>112</v>
      </c>
      <c r="E33" s="304" t="str">
        <f t="array" ref="E33">IFERROR(INDEX('計測入力シート（ここのみ編集可）'!$BC$17:$BC$116,MATCH(A25&amp;B25,'計測入力シート（ここのみ編集可）'!$BO$17:$BO$116,0)),"")</f>
        <v/>
      </c>
      <c r="F33" s="305"/>
      <c r="G33" s="306" t="s">
        <v>25</v>
      </c>
      <c r="H33" s="307" t="str">
        <f t="array" ref="H33">IFERROR(INDEX('計測入力シート（ここのみ編集可）'!$BD$17:$BD$116,MATCH(A25&amp;B25,'計測入力シート（ここのみ編集可）'!$BO$17:$BO$116,0)),"")</f>
        <v/>
      </c>
    </row>
    <row r="34" ht="20.25" customHeight="1">
      <c r="D34" s="308"/>
    </row>
    <row r="35" ht="27.0" customHeight="1">
      <c r="A35" s="52" t="str">
        <f>A25</f>
        <v>NL</v>
      </c>
      <c r="B35" s="52">
        <f>B25+1</f>
        <v>4</v>
      </c>
      <c r="D35" s="271" t="s">
        <v>80</v>
      </c>
      <c r="E35" s="272" t="s">
        <v>81</v>
      </c>
      <c r="F35" s="272" t="s">
        <v>82</v>
      </c>
      <c r="G35" s="273" t="s">
        <v>49</v>
      </c>
      <c r="H35" s="274"/>
    </row>
    <row r="36" ht="27.0" customHeight="1">
      <c r="A36" s="86"/>
      <c r="B36" s="86"/>
      <c r="D36" s="275" t="str">
        <f t="array" ref="D36">IFERROR(INDEX('計測入力シート（ここのみ編集可）'!$BN$17:$BN$116,MATCH(A35&amp;B35,'計測入力シート（ここのみ編集可）'!$BO$17:$BO$116,0)),"")</f>
        <v/>
      </c>
      <c r="E36" s="276" t="str">
        <f t="array" ref="E36">IFERROR(INDEX('計測入力シート（ここのみ編集可）'!$BP$17:$BP$116,MATCH(A35&amp;B35,'計測入力シート（ここのみ編集可）'!$BO$17:$BO$116,0)),"")</f>
        <v/>
      </c>
      <c r="F36" s="277" t="str">
        <f t="array" ref="F36">IFERROR(INDEX('計測入力シート（ここのみ編集可）'!$BR$17:$BR$116,MATCH(A35&amp;B35,'計測入力シート（ここのみ編集可）'!$BO$17:$BO$116,0)),"")</f>
        <v/>
      </c>
      <c r="G36" s="278" t="str">
        <f t="array" ref="G36">IFERROR(INDEX('計測入力シート（ここのみ編集可）'!$BL$17:$BL$116,MATCH(A35&amp;B35,'計測入力シート（ここのみ編集可）'!$BO$17:$BO$116,0)),"")</f>
        <v/>
      </c>
      <c r="H36" s="279"/>
    </row>
    <row r="37" ht="27.0" customHeight="1">
      <c r="D37" s="280" t="s">
        <v>2</v>
      </c>
      <c r="E37" s="281" t="str">
        <f t="array" ref="E37">IFERROR(INDEX('計測入力シート（ここのみ編集可）'!$C$17:$C$116,MATCH(A35&amp;B35,'計測入力シート（ここのみ編集可）'!$BO$17:$BO$116,0)),"")</f>
        <v/>
      </c>
      <c r="F37" s="317" t="s">
        <v>17</v>
      </c>
      <c r="G37" s="283" t="str">
        <f t="array" ref="G37">IFERROR(INDEX('計測入力シート（ここのみ編集可）'!$D$17:$D$116,MATCH(A35&amp;B35,'計測入力シート（ここのみ編集可）'!$BO$17:$BO$116,0)),"")</f>
        <v/>
      </c>
      <c r="H37" s="284"/>
    </row>
    <row r="38" ht="27.0" customHeight="1">
      <c r="D38" s="285" t="s">
        <v>1</v>
      </c>
      <c r="E38" s="286" t="str">
        <f t="array" ref="E38">IFERROR(INDEX('計測入力シート（ここのみ編集可）'!$B$17:$B$116,MATCH(A35&amp;B35,'計測入力シート（ここのみ編集可）'!$BO$17:$BO$116,0)),"")</f>
        <v/>
      </c>
      <c r="F38" s="318" t="s">
        <v>18</v>
      </c>
      <c r="G38" s="288" t="str">
        <f t="array" ref="G38">IFERROR(INDEX('計測入力シート（ここのみ編集可）'!$E$17:$E$116,MATCH(A35&amp;B35,'計測入力シート（ここのみ編集可）'!$BO$17:$BO$116,0)),"")</f>
        <v/>
      </c>
      <c r="H38" s="289"/>
    </row>
    <row r="39" ht="24.75" customHeight="1">
      <c r="D39" s="290" t="s">
        <v>92</v>
      </c>
      <c r="E39" s="291" t="str">
        <f t="array" ref="E39">IFERROR(INDEX(#REF!,MATCH(A35&amp;B35,'計測入力シート（ここのみ編集可）'!$BO$17:$BO$116,0)),"")</f>
        <v/>
      </c>
      <c r="H39" s="232"/>
    </row>
    <row r="40" ht="52.5" customHeight="1">
      <c r="D40" s="292" t="s">
        <v>100</v>
      </c>
      <c r="E40" s="293" t="str">
        <f t="array" ref="E40">IFERROR(INDEX(#REF!,MATCH(A35&amp;B35,'計測入力シート（ここのみ編集可）'!$BO$17:$BO$116,0)),"")</f>
        <v/>
      </c>
      <c r="F40" s="95"/>
      <c r="G40" s="95"/>
      <c r="H40" s="96"/>
    </row>
    <row r="41" ht="20.25" customHeight="1">
      <c r="D41" s="294" t="s">
        <v>39</v>
      </c>
      <c r="E41" s="295" t="str">
        <f t="array" ref="E41">IFERROR(INDEX('計測入力シート（ここのみ編集可）'!$AW$17:$AW$116,MATCH(A35&amp;B35,'計測入力シート（ここのみ編集可）'!$BO$17:$BO$116,0)),"")</f>
        <v/>
      </c>
      <c r="F41" s="296"/>
      <c r="G41" s="297" t="s">
        <v>110</v>
      </c>
      <c r="H41" s="298" t="str">
        <f t="array" ref="H41">IFERROR(INDEX('計測入力シート（ここのみ編集可）'!$AY$17:$AY$116,MATCH(A35&amp;B35,'計測入力シート（ここのみ編集可）'!$BO$17:$BO$116,0)),"")</f>
        <v/>
      </c>
    </row>
    <row r="42" ht="20.25" customHeight="1">
      <c r="D42" s="299" t="s">
        <v>42</v>
      </c>
      <c r="E42" s="300" t="str">
        <f t="array" ref="E42">IFERROR(INDEX('計測入力シート（ここのみ編集可）'!$AZ$17:$AZ$116,MATCH(A35&amp;B35,'計測入力シート（ここのみ編集可）'!$BO$17:$BO$116,0)),"")</f>
        <v/>
      </c>
      <c r="F42" s="116"/>
      <c r="G42" s="301" t="s">
        <v>111</v>
      </c>
      <c r="H42" s="302" t="str">
        <f t="array" ref="H42">IFERROR(INDEX('計測入力シート（ここのみ編集可）'!$BB$17:$BB$116,MATCH(A35&amp;B35,'計測入力シート（ここのみ編集可）'!$BO$17:$BO$116,0)),"")</f>
        <v/>
      </c>
    </row>
    <row r="43" ht="20.25" customHeight="1">
      <c r="D43" s="303" t="s">
        <v>112</v>
      </c>
      <c r="E43" s="304" t="str">
        <f t="array" ref="E43">IFERROR(INDEX('計測入力シート（ここのみ編集可）'!$BC$17:$BC$116,MATCH(A35&amp;B35,'計測入力シート（ここのみ編集可）'!$BO$17:$BO$116,0)),"")</f>
        <v/>
      </c>
      <c r="F43" s="305"/>
      <c r="G43" s="306" t="s">
        <v>25</v>
      </c>
      <c r="H43" s="307" t="str">
        <f t="array" ref="H43">IFERROR(INDEX('計測入力シート（ここのみ編集可）'!$BD$17:$BD$116,MATCH(A35&amp;B35,'計測入力シート（ここのみ編集可）'!$BO$17:$BO$116,0)),"")</f>
        <v/>
      </c>
    </row>
    <row r="44" ht="20.25" customHeight="1">
      <c r="D44" s="308"/>
    </row>
    <row r="45" ht="27.0" customHeight="1">
      <c r="A45" s="52" t="str">
        <f>A35</f>
        <v>NL</v>
      </c>
      <c r="B45" s="52">
        <f>B35+1</f>
        <v>5</v>
      </c>
      <c r="D45" s="271" t="s">
        <v>80</v>
      </c>
      <c r="E45" s="272" t="s">
        <v>81</v>
      </c>
      <c r="F45" s="272" t="s">
        <v>82</v>
      </c>
      <c r="G45" s="273" t="s">
        <v>49</v>
      </c>
      <c r="H45" s="274"/>
    </row>
    <row r="46" ht="27.0" customHeight="1">
      <c r="A46" s="86"/>
      <c r="B46" s="86"/>
      <c r="D46" s="275" t="str">
        <f t="array" ref="D46">IFERROR(INDEX('計測入力シート（ここのみ編集可）'!$BN$17:$BN$116,MATCH(A45&amp;B45,'計測入力シート（ここのみ編集可）'!$BO$17:$BO$116,0)),"")</f>
        <v/>
      </c>
      <c r="E46" s="276" t="str">
        <f t="array" ref="E46">IFERROR(INDEX('計測入力シート（ここのみ編集可）'!$BP$17:$BP$116,MATCH(A45&amp;B45,'計測入力シート（ここのみ編集可）'!$BO$17:$BO$116,0)),"")</f>
        <v/>
      </c>
      <c r="F46" s="277" t="str">
        <f t="array" ref="F46">IFERROR(INDEX('計測入力シート（ここのみ編集可）'!$BR$17:$BR$116,MATCH(A45&amp;B45,'計測入力シート（ここのみ編集可）'!$BO$17:$BO$116,0)),"")</f>
        <v/>
      </c>
      <c r="G46" s="278" t="str">
        <f t="array" ref="G46">IFERROR(INDEX('計測入力シート（ここのみ編集可）'!$BL$17:$BL$116,MATCH(A45&amp;B45,'計測入力シート（ここのみ編集可）'!$BO$17:$BO$116,0)),"")</f>
        <v/>
      </c>
      <c r="H46" s="279"/>
    </row>
    <row r="47" ht="27.0" customHeight="1">
      <c r="D47" s="280" t="s">
        <v>2</v>
      </c>
      <c r="E47" s="281" t="str">
        <f t="array" ref="E47">IFERROR(INDEX('計測入力シート（ここのみ編集可）'!$C$17:$C$116,MATCH(A45&amp;B45,'計測入力シート（ここのみ編集可）'!$BO$17:$BO$116,0)),"")</f>
        <v/>
      </c>
      <c r="F47" s="317" t="s">
        <v>17</v>
      </c>
      <c r="G47" s="283" t="str">
        <f t="array" ref="G47">IFERROR(INDEX('計測入力シート（ここのみ編集可）'!$D$17:$D$116,MATCH(A45&amp;B45,'計測入力シート（ここのみ編集可）'!$BO$17:$BO$116,0)),"")</f>
        <v/>
      </c>
      <c r="H47" s="284"/>
    </row>
    <row r="48" ht="27.0" customHeight="1">
      <c r="D48" s="285" t="s">
        <v>1</v>
      </c>
      <c r="E48" s="286" t="str">
        <f t="array" ref="E48">IFERROR(INDEX('計測入力シート（ここのみ編集可）'!$B$17:$B$116,MATCH(A45&amp;B45,'計測入力シート（ここのみ編集可）'!$BO$17:$BO$116,0)),"")</f>
        <v/>
      </c>
      <c r="F48" s="318" t="s">
        <v>18</v>
      </c>
      <c r="G48" s="288" t="str">
        <f t="array" ref="G48">IFERROR(INDEX('計測入力シート（ここのみ編集可）'!$E$17:$E$116,MATCH(A45&amp;B45,'計測入力シート（ここのみ編集可）'!$BO$17:$BO$116,0)),"")</f>
        <v/>
      </c>
      <c r="H48" s="289"/>
    </row>
    <row r="49" ht="24.75" customHeight="1">
      <c r="D49" s="290" t="s">
        <v>92</v>
      </c>
      <c r="E49" s="291" t="str">
        <f t="array" ref="E49">IFERROR(INDEX(#REF!,MATCH(A45&amp;B45,'計測入力シート（ここのみ編集可）'!$BO$17:$BO$116,0)),"")</f>
        <v/>
      </c>
      <c r="H49" s="232"/>
    </row>
    <row r="50" ht="52.5" customHeight="1">
      <c r="D50" s="292" t="s">
        <v>100</v>
      </c>
      <c r="E50" s="293" t="str">
        <f t="array" ref="E50">IFERROR(INDEX(#REF!,MATCH(A45&amp;B45,'計測入力シート（ここのみ編集可）'!$BO$17:$BO$116,0)),"")</f>
        <v/>
      </c>
      <c r="F50" s="95"/>
      <c r="G50" s="95"/>
      <c r="H50" s="96"/>
    </row>
    <row r="51" ht="20.25" customHeight="1">
      <c r="D51" s="294" t="s">
        <v>39</v>
      </c>
      <c r="E51" s="295" t="str">
        <f t="array" ref="E51">IFERROR(INDEX('計測入力シート（ここのみ編集可）'!$AW$17:$AW$116,MATCH(A45&amp;B45,'計測入力シート（ここのみ編集可）'!$BO$17:$BO$116,0)),"")</f>
        <v/>
      </c>
      <c r="F51" s="296"/>
      <c r="G51" s="297" t="s">
        <v>110</v>
      </c>
      <c r="H51" s="298" t="str">
        <f t="array" ref="H51">IFERROR(INDEX('計測入力シート（ここのみ編集可）'!$AY$17:$AY$116,MATCH(A45&amp;B45,'計測入力シート（ここのみ編集可）'!$BO$17:$BO$116,0)),"")</f>
        <v/>
      </c>
    </row>
    <row r="52" ht="20.25" customHeight="1">
      <c r="D52" s="299" t="s">
        <v>42</v>
      </c>
      <c r="E52" s="300" t="str">
        <f t="array" ref="E52">IFERROR(INDEX('計測入力シート（ここのみ編集可）'!$AZ$17:$AZ$116,MATCH(A45&amp;B45,'計測入力シート（ここのみ編集可）'!$BO$17:$BO$116,0)),"")</f>
        <v/>
      </c>
      <c r="F52" s="116"/>
      <c r="G52" s="301" t="s">
        <v>111</v>
      </c>
      <c r="H52" s="302" t="str">
        <f t="array" ref="H52">IFERROR(INDEX('計測入力シート（ここのみ編集可）'!$BB$17:$BB$116,MATCH(A45&amp;B45,'計測入力シート（ここのみ編集可）'!$BO$17:$BO$116,0)),"")</f>
        <v/>
      </c>
    </row>
    <row r="53" ht="20.25" customHeight="1">
      <c r="D53" s="303" t="s">
        <v>112</v>
      </c>
      <c r="E53" s="304" t="str">
        <f t="array" ref="E53">IFERROR(INDEX('計測入力シート（ここのみ編集可）'!$BC$17:$BC$116,MATCH(A45&amp;B45,'計測入力シート（ここのみ編集可）'!$BO$17:$BO$116,0)),"")</f>
        <v/>
      </c>
      <c r="F53" s="305"/>
      <c r="G53" s="306" t="s">
        <v>25</v>
      </c>
      <c r="H53" s="307" t="str">
        <f t="array" ref="H53">IFERROR(INDEX('計測入力シート（ここのみ編集可）'!$BD$17:$BD$116,MATCH(A45&amp;B45,'計測入力シート（ここのみ編集可）'!$BO$17:$BO$116,0)),"")</f>
        <v/>
      </c>
    </row>
    <row r="54" ht="20.25" customHeight="1">
      <c r="D54" s="308"/>
    </row>
    <row r="55" ht="27.0" customHeight="1">
      <c r="A55" s="52" t="str">
        <f>A45</f>
        <v>NL</v>
      </c>
      <c r="B55" s="52">
        <f>B45+1</f>
        <v>6</v>
      </c>
      <c r="D55" s="271" t="s">
        <v>80</v>
      </c>
      <c r="E55" s="272" t="s">
        <v>81</v>
      </c>
      <c r="F55" s="272" t="s">
        <v>82</v>
      </c>
      <c r="G55" s="273" t="s">
        <v>49</v>
      </c>
      <c r="H55" s="274"/>
    </row>
    <row r="56" ht="27.0" customHeight="1">
      <c r="A56" s="86"/>
      <c r="B56" s="86"/>
      <c r="D56" s="275" t="str">
        <f t="array" ref="D56">IFERROR(INDEX('計測入力シート（ここのみ編集可）'!$BN$17:$BN$116,MATCH(A55&amp;B55,'計測入力シート（ここのみ編集可）'!$BO$17:$BO$116,0)),"")</f>
        <v/>
      </c>
      <c r="E56" s="276" t="str">
        <f t="array" ref="E56">IFERROR(INDEX('計測入力シート（ここのみ編集可）'!$BP$17:$BP$116,MATCH(A55&amp;B55,'計測入力シート（ここのみ編集可）'!$BO$17:$BO$116,0)),"")</f>
        <v/>
      </c>
      <c r="F56" s="277" t="str">
        <f t="array" ref="F56">IFERROR(INDEX('計測入力シート（ここのみ編集可）'!$BR$17:$BR$116,MATCH(A55&amp;B55,'計測入力シート（ここのみ編集可）'!$BO$17:$BO$116,0)),"")</f>
        <v/>
      </c>
      <c r="G56" s="278" t="str">
        <f t="array" ref="G56">IFERROR(INDEX('計測入力シート（ここのみ編集可）'!$BL$17:$BL$116,MATCH(A55&amp;B55,'計測入力シート（ここのみ編集可）'!$BO$17:$BO$116,0)),"")</f>
        <v/>
      </c>
      <c r="H56" s="279"/>
    </row>
    <row r="57" ht="27.0" customHeight="1">
      <c r="D57" s="280" t="s">
        <v>2</v>
      </c>
      <c r="E57" s="281" t="str">
        <f t="array" ref="E57">IFERROR(INDEX('計測入力シート（ここのみ編集可）'!$C$17:$C$116,MATCH(A55&amp;B55,'計測入力シート（ここのみ編集可）'!$BO$17:$BO$116,0)),"")</f>
        <v/>
      </c>
      <c r="F57" s="317" t="s">
        <v>17</v>
      </c>
      <c r="G57" s="283" t="str">
        <f t="array" ref="G57">IFERROR(INDEX('計測入力シート（ここのみ編集可）'!$D$17:$D$116,MATCH(A55&amp;B55,'計測入力シート（ここのみ編集可）'!$BO$17:$BO$116,0)),"")</f>
        <v/>
      </c>
      <c r="H57" s="284"/>
    </row>
    <row r="58" ht="27.0" customHeight="1">
      <c r="D58" s="285" t="s">
        <v>1</v>
      </c>
      <c r="E58" s="286" t="str">
        <f t="array" ref="E58">IFERROR(INDEX('計測入力シート（ここのみ編集可）'!$B$17:$B$116,MATCH(A55&amp;B55,'計測入力シート（ここのみ編集可）'!$BO$17:$BO$116,0)),"")</f>
        <v/>
      </c>
      <c r="F58" s="318" t="s">
        <v>18</v>
      </c>
      <c r="G58" s="288" t="str">
        <f t="array" ref="G58">IFERROR(INDEX('計測入力シート（ここのみ編集可）'!$E$17:$E$116,MATCH(A55&amp;B55,'計測入力シート（ここのみ編集可）'!$BO$17:$BO$116,0)),"")</f>
        <v/>
      </c>
      <c r="H58" s="289"/>
    </row>
    <row r="59" ht="24.75" customHeight="1">
      <c r="D59" s="290" t="s">
        <v>92</v>
      </c>
      <c r="E59" s="291" t="str">
        <f t="array" ref="E59">IFERROR(INDEX(#REF!,MATCH(A55&amp;B55,'計測入力シート（ここのみ編集可）'!$BO$17:$BO$116,0)),"")</f>
        <v/>
      </c>
      <c r="H59" s="232"/>
    </row>
    <row r="60" ht="52.5" customHeight="1">
      <c r="D60" s="292" t="s">
        <v>100</v>
      </c>
      <c r="E60" s="293" t="str">
        <f t="array" ref="E60">IFERROR(INDEX(#REF!,MATCH(A55&amp;B55,'計測入力シート（ここのみ編集可）'!$BO$17:$BO$116,0)),"")</f>
        <v/>
      </c>
      <c r="F60" s="95"/>
      <c r="G60" s="95"/>
      <c r="H60" s="96"/>
    </row>
    <row r="61" ht="20.25" customHeight="1">
      <c r="D61" s="294" t="s">
        <v>39</v>
      </c>
      <c r="E61" s="295" t="str">
        <f t="array" ref="E61">IFERROR(INDEX('計測入力シート（ここのみ編集可）'!$AW$17:$AW$116,MATCH(A55&amp;B55,'計測入力シート（ここのみ編集可）'!$BO$17:$BO$116,0)),"")</f>
        <v/>
      </c>
      <c r="F61" s="296"/>
      <c r="G61" s="297" t="s">
        <v>110</v>
      </c>
      <c r="H61" s="298" t="str">
        <f t="array" ref="H61">IFERROR(INDEX('計測入力シート（ここのみ編集可）'!$AY$17:$AY$116,MATCH(A55&amp;B55,'計測入力シート（ここのみ編集可）'!$BO$17:$BO$116,0)),"")</f>
        <v/>
      </c>
    </row>
    <row r="62" ht="20.25" customHeight="1">
      <c r="D62" s="299" t="s">
        <v>42</v>
      </c>
      <c r="E62" s="300" t="str">
        <f t="array" ref="E62">IFERROR(INDEX('計測入力シート（ここのみ編集可）'!$AZ$17:$AZ$116,MATCH(A55&amp;B55,'計測入力シート（ここのみ編集可）'!$BO$17:$BO$116,0)),"")</f>
        <v/>
      </c>
      <c r="F62" s="116"/>
      <c r="G62" s="301" t="s">
        <v>111</v>
      </c>
      <c r="H62" s="302" t="str">
        <f t="array" ref="H62">IFERROR(INDEX('計測入力シート（ここのみ編集可）'!$BB$17:$BB$116,MATCH(A55&amp;B55,'計測入力シート（ここのみ編集可）'!$BO$17:$BO$116,0)),"")</f>
        <v/>
      </c>
    </row>
    <row r="63" ht="20.25" customHeight="1">
      <c r="D63" s="303" t="s">
        <v>112</v>
      </c>
      <c r="E63" s="304" t="str">
        <f t="array" ref="E63">IFERROR(INDEX('計測入力シート（ここのみ編集可）'!$BC$17:$BC$116,MATCH(A55&amp;B55,'計測入力シート（ここのみ編集可）'!$BO$17:$BO$116,0)),"")</f>
        <v/>
      </c>
      <c r="F63" s="305"/>
      <c r="G63" s="306" t="s">
        <v>25</v>
      </c>
      <c r="H63" s="307" t="str">
        <f t="array" ref="H63">IFERROR(INDEX('計測入力シート（ここのみ編集可）'!$BD$17:$BD$116,MATCH(A55&amp;B55,'計測入力シート（ここのみ編集可）'!$BO$17:$BO$116,0)),"")</f>
        <v/>
      </c>
    </row>
    <row r="64" ht="20.25" customHeight="1">
      <c r="D64" s="308"/>
    </row>
    <row r="65" ht="27.0" customHeight="1">
      <c r="A65" s="52" t="str">
        <f>A55</f>
        <v>NL</v>
      </c>
      <c r="B65" s="52">
        <f>B55+1</f>
        <v>7</v>
      </c>
      <c r="D65" s="271" t="s">
        <v>80</v>
      </c>
      <c r="E65" s="272" t="s">
        <v>81</v>
      </c>
      <c r="F65" s="272" t="s">
        <v>82</v>
      </c>
      <c r="G65" s="273" t="s">
        <v>49</v>
      </c>
      <c r="H65" s="274"/>
    </row>
    <row r="66" ht="27.0" customHeight="1">
      <c r="A66" s="86"/>
      <c r="B66" s="86"/>
      <c r="D66" s="275" t="str">
        <f t="array" ref="D66">IFERROR(INDEX('計測入力シート（ここのみ編集可）'!$BN$17:$BN$116,MATCH(A65&amp;B65,'計測入力シート（ここのみ編集可）'!$BO$17:$BO$116,0)),"")</f>
        <v/>
      </c>
      <c r="E66" s="276" t="str">
        <f t="array" ref="E66">IFERROR(INDEX('計測入力シート（ここのみ編集可）'!$BP$17:$BP$116,MATCH(A65&amp;B65,'計測入力シート（ここのみ編集可）'!$BO$17:$BO$116,0)),"")</f>
        <v/>
      </c>
      <c r="F66" s="277" t="str">
        <f t="array" ref="F66">IFERROR(INDEX('計測入力シート（ここのみ編集可）'!$BR$17:$BR$116,MATCH(A65&amp;B65,'計測入力シート（ここのみ編集可）'!$BO$17:$BO$116,0)),"")</f>
        <v/>
      </c>
      <c r="G66" s="278" t="str">
        <f t="array" ref="G66">IFERROR(INDEX('計測入力シート（ここのみ編集可）'!$BL$17:$BL$116,MATCH(A65&amp;B65,'計測入力シート（ここのみ編集可）'!$BO$17:$BO$116,0)),"")</f>
        <v/>
      </c>
      <c r="H66" s="279"/>
    </row>
    <row r="67" ht="27.0" customHeight="1">
      <c r="D67" s="280" t="s">
        <v>2</v>
      </c>
      <c r="E67" s="281" t="str">
        <f t="array" ref="E67">IFERROR(INDEX('計測入力シート（ここのみ編集可）'!$C$17:$C$116,MATCH(A65&amp;B65,'計測入力シート（ここのみ編集可）'!$BO$17:$BO$116,0)),"")</f>
        <v/>
      </c>
      <c r="F67" s="317" t="s">
        <v>17</v>
      </c>
      <c r="G67" s="283" t="str">
        <f t="array" ref="G67">IFERROR(INDEX('計測入力シート（ここのみ編集可）'!$D$17:$D$116,MATCH(A65&amp;B65,'計測入力シート（ここのみ編集可）'!$BO$17:$BO$116,0)),"")</f>
        <v/>
      </c>
      <c r="H67" s="284"/>
    </row>
    <row r="68" ht="27.0" customHeight="1">
      <c r="D68" s="285" t="s">
        <v>1</v>
      </c>
      <c r="E68" s="286" t="str">
        <f t="array" ref="E68">IFERROR(INDEX('計測入力シート（ここのみ編集可）'!$B$17:$B$116,MATCH(A65&amp;B65,'計測入力シート（ここのみ編集可）'!$BO$17:$BO$116,0)),"")</f>
        <v/>
      </c>
      <c r="F68" s="318" t="s">
        <v>18</v>
      </c>
      <c r="G68" s="288" t="str">
        <f t="array" ref="G68">IFERROR(INDEX('計測入力シート（ここのみ編集可）'!$E$17:$E$116,MATCH(A65&amp;B65,'計測入力シート（ここのみ編集可）'!$BO$17:$BO$116,0)),"")</f>
        <v/>
      </c>
      <c r="H68" s="289"/>
    </row>
    <row r="69" ht="24.75" customHeight="1">
      <c r="D69" s="290" t="s">
        <v>92</v>
      </c>
      <c r="E69" s="291" t="str">
        <f t="array" ref="E69">IFERROR(INDEX(#REF!,MATCH(A65&amp;B65,'計測入力シート（ここのみ編集可）'!$BO$17:$BO$116,0)),"")</f>
        <v/>
      </c>
      <c r="H69" s="232"/>
    </row>
    <row r="70" ht="52.5" customHeight="1">
      <c r="D70" s="292" t="s">
        <v>100</v>
      </c>
      <c r="E70" s="293" t="str">
        <f t="array" ref="E70">IFERROR(INDEX(#REF!,MATCH(A65&amp;B65,'計測入力シート（ここのみ編集可）'!$BO$17:$BO$116,0)),"")</f>
        <v/>
      </c>
      <c r="F70" s="95"/>
      <c r="G70" s="95"/>
      <c r="H70" s="96"/>
    </row>
    <row r="71" ht="20.25" customHeight="1">
      <c r="D71" s="294" t="s">
        <v>39</v>
      </c>
      <c r="E71" s="295" t="str">
        <f t="array" ref="E71">IFERROR(INDEX('計測入力シート（ここのみ編集可）'!$AW$17:$AW$116,MATCH(A65&amp;B65,'計測入力シート（ここのみ編集可）'!$BO$17:$BO$116,0)),"")</f>
        <v/>
      </c>
      <c r="F71" s="296"/>
      <c r="G71" s="297" t="s">
        <v>110</v>
      </c>
      <c r="H71" s="298" t="str">
        <f t="array" ref="H71">IFERROR(INDEX('計測入力シート（ここのみ編集可）'!$AY$17:$AY$116,MATCH(A65&amp;B65,'計測入力シート（ここのみ編集可）'!$BO$17:$BO$116,0)),"")</f>
        <v/>
      </c>
    </row>
    <row r="72" ht="20.25" customHeight="1">
      <c r="D72" s="299" t="s">
        <v>42</v>
      </c>
      <c r="E72" s="300" t="str">
        <f t="array" ref="E72">IFERROR(INDEX('計測入力シート（ここのみ編集可）'!$AZ$17:$AZ$116,MATCH(A65&amp;B65,'計測入力シート（ここのみ編集可）'!$BO$17:$BO$116,0)),"")</f>
        <v/>
      </c>
      <c r="F72" s="116"/>
      <c r="G72" s="301" t="s">
        <v>111</v>
      </c>
      <c r="H72" s="302" t="str">
        <f t="array" ref="H72">IFERROR(INDEX('計測入力シート（ここのみ編集可）'!$BB$17:$BB$116,MATCH(A65&amp;B65,'計測入力シート（ここのみ編集可）'!$BO$17:$BO$116,0)),"")</f>
        <v/>
      </c>
    </row>
    <row r="73" ht="20.25" customHeight="1">
      <c r="D73" s="303" t="s">
        <v>112</v>
      </c>
      <c r="E73" s="304" t="str">
        <f t="array" ref="E73">IFERROR(INDEX('計測入力シート（ここのみ編集可）'!$BC$17:$BC$116,MATCH(A65&amp;B65,'計測入力シート（ここのみ編集可）'!$BO$17:$BO$116,0)),"")</f>
        <v/>
      </c>
      <c r="F73" s="305"/>
      <c r="G73" s="306" t="s">
        <v>25</v>
      </c>
      <c r="H73" s="307" t="str">
        <f t="array" ref="H73">IFERROR(INDEX('計測入力シート（ここのみ編集可）'!$BD$17:$BD$116,MATCH(A65&amp;B65,'計測入力シート（ここのみ編集可）'!$BO$17:$BO$116,0)),"")</f>
        <v/>
      </c>
    </row>
    <row r="74" ht="20.25" customHeight="1">
      <c r="D74" s="308"/>
    </row>
    <row r="75" ht="27.0" customHeight="1">
      <c r="A75" s="52" t="str">
        <f>A65</f>
        <v>NL</v>
      </c>
      <c r="B75" s="52">
        <f>B65+1</f>
        <v>8</v>
      </c>
      <c r="D75" s="271" t="s">
        <v>80</v>
      </c>
      <c r="E75" s="272" t="s">
        <v>81</v>
      </c>
      <c r="F75" s="272" t="s">
        <v>82</v>
      </c>
      <c r="G75" s="273" t="s">
        <v>49</v>
      </c>
      <c r="H75" s="274"/>
    </row>
    <row r="76" ht="27.0" customHeight="1">
      <c r="A76" s="86"/>
      <c r="B76" s="86"/>
      <c r="D76" s="275" t="str">
        <f t="array" ref="D76">IFERROR(INDEX('計測入力シート（ここのみ編集可）'!$BN$17:$BN$116,MATCH(A75&amp;B75,'計測入力シート（ここのみ編集可）'!$BO$17:$BO$116,0)),"")</f>
        <v/>
      </c>
      <c r="E76" s="276" t="str">
        <f t="array" ref="E76">IFERROR(INDEX('計測入力シート（ここのみ編集可）'!$BP$17:$BP$116,MATCH(A75&amp;B75,'計測入力シート（ここのみ編集可）'!$BO$17:$BO$116,0)),"")</f>
        <v/>
      </c>
      <c r="F76" s="277" t="str">
        <f t="array" ref="F76">IFERROR(INDEX('計測入力シート（ここのみ編集可）'!$BR$17:$BR$116,MATCH(A75&amp;B75,'計測入力シート（ここのみ編集可）'!$BO$17:$BO$116,0)),"")</f>
        <v/>
      </c>
      <c r="G76" s="278" t="str">
        <f t="array" ref="G76">IFERROR(INDEX('計測入力シート（ここのみ編集可）'!$BL$17:$BL$116,MATCH(A75&amp;B75,'計測入力シート（ここのみ編集可）'!$BO$17:$BO$116,0)),"")</f>
        <v/>
      </c>
      <c r="H76" s="279"/>
    </row>
    <row r="77" ht="27.0" customHeight="1">
      <c r="D77" s="280" t="s">
        <v>2</v>
      </c>
      <c r="E77" s="281" t="str">
        <f t="array" ref="E77">IFERROR(INDEX('計測入力シート（ここのみ編集可）'!$C$17:$C$116,MATCH(A75&amp;B75,'計測入力シート（ここのみ編集可）'!$BO$17:$BO$116,0)),"")</f>
        <v/>
      </c>
      <c r="F77" s="317" t="s">
        <v>17</v>
      </c>
      <c r="G77" s="283" t="str">
        <f t="array" ref="G77">IFERROR(INDEX('計測入力シート（ここのみ編集可）'!$D$17:$D$116,MATCH(A75&amp;B75,'計測入力シート（ここのみ編集可）'!$BO$17:$BO$116,0)),"")</f>
        <v/>
      </c>
      <c r="H77" s="284"/>
    </row>
    <row r="78" ht="27.0" customHeight="1">
      <c r="D78" s="285" t="s">
        <v>1</v>
      </c>
      <c r="E78" s="286" t="str">
        <f t="array" ref="E78">IFERROR(INDEX('計測入力シート（ここのみ編集可）'!$B$17:$B$116,MATCH(A75&amp;B75,'計測入力シート（ここのみ編集可）'!$BO$17:$BO$116,0)),"")</f>
        <v/>
      </c>
      <c r="F78" s="318" t="s">
        <v>18</v>
      </c>
      <c r="G78" s="288" t="str">
        <f t="array" ref="G78">IFERROR(INDEX('計測入力シート（ここのみ編集可）'!$E$17:$E$116,MATCH(A75&amp;B75,'計測入力シート（ここのみ編集可）'!$BO$17:$BO$116,0)),"")</f>
        <v/>
      </c>
      <c r="H78" s="289"/>
    </row>
    <row r="79" ht="24.75" customHeight="1">
      <c r="D79" s="290" t="s">
        <v>92</v>
      </c>
      <c r="E79" s="291" t="str">
        <f t="array" ref="E79">IFERROR(INDEX(#REF!,MATCH(A75&amp;B75,'計測入力シート（ここのみ編集可）'!$BO$17:$BO$116,0)),"")</f>
        <v/>
      </c>
      <c r="H79" s="232"/>
    </row>
    <row r="80" ht="52.5" customHeight="1">
      <c r="D80" s="292" t="s">
        <v>100</v>
      </c>
      <c r="E80" s="293" t="str">
        <f t="array" ref="E80">IFERROR(INDEX(#REF!,MATCH(A75&amp;B75,'計測入力シート（ここのみ編集可）'!$BO$17:$BO$116,0)),"")</f>
        <v/>
      </c>
      <c r="F80" s="95"/>
      <c r="G80" s="95"/>
      <c r="H80" s="96"/>
    </row>
    <row r="81" ht="20.25" customHeight="1">
      <c r="D81" s="294" t="s">
        <v>39</v>
      </c>
      <c r="E81" s="295" t="str">
        <f t="array" ref="E81">IFERROR(INDEX('計測入力シート（ここのみ編集可）'!$AW$17:$AW$116,MATCH(A75&amp;B75,'計測入力シート（ここのみ編集可）'!$BO$17:$BO$116,0)),"")</f>
        <v/>
      </c>
      <c r="F81" s="296"/>
      <c r="G81" s="297" t="s">
        <v>110</v>
      </c>
      <c r="H81" s="298" t="str">
        <f t="array" ref="H81">IFERROR(INDEX('計測入力シート（ここのみ編集可）'!$AY$17:$AY$116,MATCH(A75&amp;B75,'計測入力シート（ここのみ編集可）'!$BO$17:$BO$116,0)),"")</f>
        <v/>
      </c>
    </row>
    <row r="82" ht="20.25" customHeight="1">
      <c r="D82" s="299" t="s">
        <v>42</v>
      </c>
      <c r="E82" s="300" t="str">
        <f t="array" ref="E82">IFERROR(INDEX('計測入力シート（ここのみ編集可）'!$AZ$17:$AZ$116,MATCH(A75&amp;B75,'計測入力シート（ここのみ編集可）'!$BO$17:$BO$116,0)),"")</f>
        <v/>
      </c>
      <c r="F82" s="116"/>
      <c r="G82" s="301" t="s">
        <v>111</v>
      </c>
      <c r="H82" s="302" t="str">
        <f t="array" ref="H82">IFERROR(INDEX('計測入力シート（ここのみ編集可）'!$BB$17:$BB$116,MATCH(A75&amp;B75,'計測入力シート（ここのみ編集可）'!$BO$17:$BO$116,0)),"")</f>
        <v/>
      </c>
    </row>
    <row r="83" ht="20.25" customHeight="1">
      <c r="D83" s="303" t="s">
        <v>112</v>
      </c>
      <c r="E83" s="304" t="str">
        <f t="array" ref="E83">IFERROR(INDEX('計測入力シート（ここのみ編集可）'!$BC$17:$BC$116,MATCH(A75&amp;B75,'計測入力シート（ここのみ編集可）'!$BO$17:$BO$116,0)),"")</f>
        <v/>
      </c>
      <c r="F83" s="305"/>
      <c r="G83" s="306" t="s">
        <v>25</v>
      </c>
      <c r="H83" s="307" t="str">
        <f t="array" ref="H83">IFERROR(INDEX('計測入力シート（ここのみ編集可）'!$BD$17:$BD$116,MATCH(A75&amp;B75,'計測入力シート（ここのみ編集可）'!$BO$17:$BO$116,0)),"")</f>
        <v/>
      </c>
    </row>
    <row r="84" ht="20.25" customHeight="1">
      <c r="D84" s="308"/>
    </row>
    <row r="85" ht="27.0" customHeight="1">
      <c r="A85" s="52" t="str">
        <f>A75</f>
        <v>NL</v>
      </c>
      <c r="B85" s="52">
        <f>B75+1</f>
        <v>9</v>
      </c>
      <c r="D85" s="271" t="s">
        <v>80</v>
      </c>
      <c r="E85" s="272" t="s">
        <v>81</v>
      </c>
      <c r="F85" s="272" t="s">
        <v>82</v>
      </c>
      <c r="G85" s="273" t="s">
        <v>49</v>
      </c>
      <c r="H85" s="274"/>
    </row>
    <row r="86" ht="27.0" customHeight="1">
      <c r="A86" s="86"/>
      <c r="B86" s="86"/>
      <c r="D86" s="275" t="str">
        <f t="array" ref="D86">IFERROR(INDEX('計測入力シート（ここのみ編集可）'!$BN$17:$BN$116,MATCH(A85&amp;B85,'計測入力シート（ここのみ編集可）'!$BO$17:$BO$116,0)),"")</f>
        <v/>
      </c>
      <c r="E86" s="276" t="str">
        <f t="array" ref="E86">IFERROR(INDEX('計測入力シート（ここのみ編集可）'!$BP$17:$BP$116,MATCH(A85&amp;B85,'計測入力シート（ここのみ編集可）'!$BO$17:$BO$116,0)),"")</f>
        <v/>
      </c>
      <c r="F86" s="277" t="str">
        <f t="array" ref="F86">IFERROR(INDEX('計測入力シート（ここのみ編集可）'!$BR$17:$BR$116,MATCH(A85&amp;B85,'計測入力シート（ここのみ編集可）'!$BO$17:$BO$116,0)),"")</f>
        <v/>
      </c>
      <c r="G86" s="278" t="str">
        <f t="array" ref="G86">IFERROR(INDEX('計測入力シート（ここのみ編集可）'!$BL$17:$BL$116,MATCH(A85&amp;B85,'計測入力シート（ここのみ編集可）'!$BO$17:$BO$116,0)),"")</f>
        <v/>
      </c>
      <c r="H86" s="279"/>
    </row>
    <row r="87" ht="27.0" customHeight="1">
      <c r="D87" s="280" t="s">
        <v>2</v>
      </c>
      <c r="E87" s="281" t="str">
        <f t="array" ref="E87">IFERROR(INDEX('計測入力シート（ここのみ編集可）'!$C$17:$C$116,MATCH(A85&amp;B85,'計測入力シート（ここのみ編集可）'!$BO$17:$BO$116,0)),"")</f>
        <v/>
      </c>
      <c r="F87" s="317" t="s">
        <v>17</v>
      </c>
      <c r="G87" s="283" t="str">
        <f t="array" ref="G87">IFERROR(INDEX('計測入力シート（ここのみ編集可）'!$D$17:$D$116,MATCH(A85&amp;B85,'計測入力シート（ここのみ編集可）'!$BO$17:$BO$116,0)),"")</f>
        <v/>
      </c>
      <c r="H87" s="284"/>
    </row>
    <row r="88" ht="27.0" customHeight="1">
      <c r="D88" s="285" t="s">
        <v>1</v>
      </c>
      <c r="E88" s="286" t="str">
        <f t="array" ref="E88">IFERROR(INDEX('計測入力シート（ここのみ編集可）'!$B$17:$B$116,MATCH(A85&amp;B85,'計測入力シート（ここのみ編集可）'!$BO$17:$BO$116,0)),"")</f>
        <v/>
      </c>
      <c r="F88" s="318" t="s">
        <v>18</v>
      </c>
      <c r="G88" s="288" t="str">
        <f t="array" ref="G88">IFERROR(INDEX('計測入力シート（ここのみ編集可）'!$E$17:$E$116,MATCH(A85&amp;B85,'計測入力シート（ここのみ編集可）'!$BO$17:$BO$116,0)),"")</f>
        <v/>
      </c>
      <c r="H88" s="289"/>
    </row>
    <row r="89" ht="24.75" customHeight="1">
      <c r="D89" s="290" t="s">
        <v>92</v>
      </c>
      <c r="E89" s="291" t="str">
        <f t="array" ref="E89">IFERROR(INDEX(#REF!,MATCH(A85&amp;B85,'計測入力シート（ここのみ編集可）'!$BO$17:$BO$116,0)),"")</f>
        <v/>
      </c>
      <c r="H89" s="232"/>
    </row>
    <row r="90" ht="52.5" customHeight="1">
      <c r="D90" s="292" t="s">
        <v>100</v>
      </c>
      <c r="E90" s="293" t="str">
        <f t="array" ref="E90">IFERROR(INDEX(#REF!,MATCH(A85&amp;B85,'計測入力シート（ここのみ編集可）'!$BO$17:$BO$116,0)),"")</f>
        <v/>
      </c>
      <c r="F90" s="95"/>
      <c r="G90" s="95"/>
      <c r="H90" s="96"/>
    </row>
    <row r="91" ht="20.25" customHeight="1">
      <c r="D91" s="294" t="s">
        <v>39</v>
      </c>
      <c r="E91" s="295" t="str">
        <f t="array" ref="E91">IFERROR(INDEX('計測入力シート（ここのみ編集可）'!$AW$17:$AW$116,MATCH(A85&amp;B85,'計測入力シート（ここのみ編集可）'!$BO$17:$BO$116,0)),"")</f>
        <v/>
      </c>
      <c r="F91" s="296"/>
      <c r="G91" s="297" t="s">
        <v>110</v>
      </c>
      <c r="H91" s="298" t="str">
        <f t="array" ref="H91">IFERROR(INDEX('計測入力シート（ここのみ編集可）'!$AY$17:$AY$116,MATCH(A85&amp;B85,'計測入力シート（ここのみ編集可）'!$BO$17:$BO$116,0)),"")</f>
        <v/>
      </c>
    </row>
    <row r="92" ht="20.25" customHeight="1">
      <c r="D92" s="299" t="s">
        <v>42</v>
      </c>
      <c r="E92" s="300" t="str">
        <f t="array" ref="E92">IFERROR(INDEX('計測入力シート（ここのみ編集可）'!$AZ$17:$AZ$116,MATCH(A85&amp;B85,'計測入力シート（ここのみ編集可）'!$BO$17:$BO$116,0)),"")</f>
        <v/>
      </c>
      <c r="F92" s="116"/>
      <c r="G92" s="301" t="s">
        <v>111</v>
      </c>
      <c r="H92" s="302" t="str">
        <f t="array" ref="H92">IFERROR(INDEX('計測入力シート（ここのみ編集可）'!$BB$17:$BB$116,MATCH(A85&amp;B85,'計測入力シート（ここのみ編集可）'!$BO$17:$BO$116,0)),"")</f>
        <v/>
      </c>
    </row>
    <row r="93" ht="20.25" customHeight="1">
      <c r="D93" s="303" t="s">
        <v>112</v>
      </c>
      <c r="E93" s="304" t="str">
        <f t="array" ref="E93">IFERROR(INDEX('計測入力シート（ここのみ編集可）'!$BC$17:$BC$116,MATCH(A85&amp;B85,'計測入力シート（ここのみ編集可）'!$BO$17:$BO$116,0)),"")</f>
        <v/>
      </c>
      <c r="F93" s="305"/>
      <c r="G93" s="306" t="s">
        <v>25</v>
      </c>
      <c r="H93" s="307" t="str">
        <f t="array" ref="H93">IFERROR(INDEX('計測入力シート（ここのみ編集可）'!$BD$17:$BD$116,MATCH(A85&amp;B85,'計測入力シート（ここのみ編集可）'!$BO$17:$BO$116,0)),"")</f>
        <v/>
      </c>
    </row>
    <row r="94" ht="20.25" customHeight="1">
      <c r="D94" s="308"/>
    </row>
    <row r="95" ht="27.0" customHeight="1">
      <c r="A95" s="52" t="str">
        <f>A85</f>
        <v>NL</v>
      </c>
      <c r="B95" s="52">
        <f>B85+1</f>
        <v>10</v>
      </c>
      <c r="D95" s="271" t="s">
        <v>80</v>
      </c>
      <c r="E95" s="272" t="s">
        <v>81</v>
      </c>
      <c r="F95" s="272" t="s">
        <v>82</v>
      </c>
      <c r="G95" s="273" t="s">
        <v>49</v>
      </c>
      <c r="H95" s="274"/>
    </row>
    <row r="96" ht="27.0" customHeight="1">
      <c r="A96" s="86"/>
      <c r="B96" s="86"/>
      <c r="D96" s="275" t="str">
        <f t="array" ref="D96">IFERROR(INDEX('計測入力シート（ここのみ編集可）'!$BN$17:$BN$116,MATCH(A95&amp;B95,'計測入力シート（ここのみ編集可）'!$BO$17:$BO$116,0)),"")</f>
        <v/>
      </c>
      <c r="E96" s="276" t="str">
        <f t="array" ref="E96">IFERROR(INDEX('計測入力シート（ここのみ編集可）'!$BP$17:$BP$116,MATCH(A95&amp;B95,'計測入力シート（ここのみ編集可）'!$BO$17:$BO$116,0)),"")</f>
        <v/>
      </c>
      <c r="F96" s="277" t="str">
        <f t="array" ref="F96">IFERROR(INDEX('計測入力シート（ここのみ編集可）'!$BR$17:$BR$116,MATCH(A95&amp;B95,'計測入力シート（ここのみ編集可）'!$BO$17:$BO$116,0)),"")</f>
        <v/>
      </c>
      <c r="G96" s="278" t="str">
        <f t="array" ref="G96">IFERROR(INDEX('計測入力シート（ここのみ編集可）'!$BL$17:$BL$116,MATCH(A95&amp;B95,'計測入力シート（ここのみ編集可）'!$BO$17:$BO$116,0)),"")</f>
        <v/>
      </c>
      <c r="H96" s="279"/>
    </row>
    <row r="97" ht="27.0" customHeight="1">
      <c r="D97" s="280" t="s">
        <v>2</v>
      </c>
      <c r="E97" s="281" t="str">
        <f t="array" ref="E97">IFERROR(INDEX('計測入力シート（ここのみ編集可）'!$C$17:$C$116,MATCH(A95&amp;B95,'計測入力シート（ここのみ編集可）'!$BO$17:$BO$116,0)),"")</f>
        <v/>
      </c>
      <c r="F97" s="317" t="s">
        <v>17</v>
      </c>
      <c r="G97" s="283" t="str">
        <f t="array" ref="G97">IFERROR(INDEX('計測入力シート（ここのみ編集可）'!$D$17:$D$116,MATCH(A95&amp;B95,'計測入力シート（ここのみ編集可）'!$BO$17:$BO$116,0)),"")</f>
        <v/>
      </c>
      <c r="H97" s="284"/>
    </row>
    <row r="98" ht="27.0" customHeight="1">
      <c r="D98" s="285" t="s">
        <v>1</v>
      </c>
      <c r="E98" s="286" t="str">
        <f t="array" ref="E98">IFERROR(INDEX('計測入力シート（ここのみ編集可）'!$B$17:$B$116,MATCH(A95&amp;B95,'計測入力シート（ここのみ編集可）'!$BO$17:$BO$116,0)),"")</f>
        <v/>
      </c>
      <c r="F98" s="318" t="s">
        <v>18</v>
      </c>
      <c r="G98" s="288" t="str">
        <f t="array" ref="G98">IFERROR(INDEX('計測入力シート（ここのみ編集可）'!$E$17:$E$116,MATCH(A95&amp;B95,'計測入力シート（ここのみ編集可）'!$BO$17:$BO$116,0)),"")</f>
        <v/>
      </c>
      <c r="H98" s="289"/>
    </row>
    <row r="99" ht="24.75" customHeight="1">
      <c r="D99" s="290" t="s">
        <v>92</v>
      </c>
      <c r="E99" s="291" t="str">
        <f t="array" ref="E99">IFERROR(INDEX(#REF!,MATCH(A95&amp;B95,'計測入力シート（ここのみ編集可）'!$BO$17:$BO$116,0)),"")</f>
        <v/>
      </c>
      <c r="H99" s="232"/>
    </row>
    <row r="100" ht="52.5" customHeight="1">
      <c r="D100" s="292" t="s">
        <v>100</v>
      </c>
      <c r="E100" s="293" t="str">
        <f t="array" ref="E100">IFERROR(INDEX(#REF!,MATCH(A95&amp;B95,'計測入力シート（ここのみ編集可）'!$BO$17:$BO$116,0)),"")</f>
        <v/>
      </c>
      <c r="F100" s="95"/>
      <c r="G100" s="95"/>
      <c r="H100" s="96"/>
    </row>
    <row r="101" ht="20.25" customHeight="1">
      <c r="D101" s="294" t="s">
        <v>39</v>
      </c>
      <c r="E101" s="295" t="str">
        <f t="array" ref="E101">IFERROR(INDEX('計測入力シート（ここのみ編集可）'!$AW$17:$AW$116,MATCH(A95&amp;B95,'計測入力シート（ここのみ編集可）'!$BO$17:$BO$116,0)),"")</f>
        <v/>
      </c>
      <c r="F101" s="296"/>
      <c r="G101" s="297" t="s">
        <v>110</v>
      </c>
      <c r="H101" s="298" t="str">
        <f t="array" ref="H101">IFERROR(INDEX('計測入力シート（ここのみ編集可）'!$AY$17:$AY$116,MATCH(A95&amp;B95,'計測入力シート（ここのみ編集可）'!$BO$17:$BO$116,0)),"")</f>
        <v/>
      </c>
    </row>
    <row r="102" ht="20.25" customHeight="1">
      <c r="D102" s="299" t="s">
        <v>42</v>
      </c>
      <c r="E102" s="300" t="str">
        <f t="array" ref="E102">IFERROR(INDEX('計測入力シート（ここのみ編集可）'!$AZ$17:$AZ$116,MATCH(A95&amp;B95,'計測入力シート（ここのみ編集可）'!$BO$17:$BO$116,0)),"")</f>
        <v/>
      </c>
      <c r="F102" s="116"/>
      <c r="G102" s="301" t="s">
        <v>111</v>
      </c>
      <c r="H102" s="302" t="str">
        <f t="array" ref="H102">IFERROR(INDEX('計測入力シート（ここのみ編集可）'!$BB$17:$BB$116,MATCH(A95&amp;B95,'計測入力シート（ここのみ編集可）'!$BO$17:$BO$116,0)),"")</f>
        <v/>
      </c>
    </row>
    <row r="103" ht="20.25" customHeight="1">
      <c r="D103" s="303" t="s">
        <v>112</v>
      </c>
      <c r="E103" s="304" t="str">
        <f t="array" ref="E103">IFERROR(INDEX('計測入力シート（ここのみ編集可）'!$BC$17:$BC$116,MATCH(A95&amp;B95,'計測入力シート（ここのみ編集可）'!$BO$17:$BO$116,0)),"")</f>
        <v/>
      </c>
      <c r="F103" s="305"/>
      <c r="G103" s="306" t="s">
        <v>25</v>
      </c>
      <c r="H103" s="307" t="str">
        <f t="array" ref="H103">IFERROR(INDEX('計測入力シート（ここのみ編集可）'!$BD$17:$BD$116,MATCH(A95&amp;B95,'計測入力シート（ここのみ編集可）'!$BO$17:$BO$116,0)),"")</f>
        <v/>
      </c>
    </row>
    <row r="104" ht="20.25" customHeight="1">
      <c r="D104" s="308"/>
    </row>
    <row r="105" ht="27.0" customHeight="1">
      <c r="A105" s="52" t="str">
        <f>A95</f>
        <v>NL</v>
      </c>
      <c r="B105" s="52">
        <f>B95+1</f>
        <v>11</v>
      </c>
      <c r="D105" s="271" t="s">
        <v>80</v>
      </c>
      <c r="E105" s="272" t="s">
        <v>81</v>
      </c>
      <c r="F105" s="272" t="s">
        <v>82</v>
      </c>
      <c r="G105" s="273" t="s">
        <v>49</v>
      </c>
      <c r="H105" s="274"/>
    </row>
    <row r="106" ht="27.0" customHeight="1">
      <c r="A106" s="86"/>
      <c r="B106" s="86"/>
      <c r="D106" s="275" t="str">
        <f t="array" ref="D106">IFERROR(INDEX('計測入力シート（ここのみ編集可）'!$BN$17:$BN$116,MATCH(A105&amp;B105,'計測入力シート（ここのみ編集可）'!$BO$17:$BO$116,0)),"")</f>
        <v/>
      </c>
      <c r="E106" s="276" t="str">
        <f t="array" ref="E106">IFERROR(INDEX('計測入力シート（ここのみ編集可）'!$BP$17:$BP$116,MATCH(A105&amp;B105,'計測入力シート（ここのみ編集可）'!$BO$17:$BO$116,0)),"")</f>
        <v/>
      </c>
      <c r="F106" s="277" t="str">
        <f t="array" ref="F106">IFERROR(INDEX('計測入力シート（ここのみ編集可）'!$BR$17:$BR$116,MATCH(A105&amp;B105,'計測入力シート（ここのみ編集可）'!$BO$17:$BO$116,0)),"")</f>
        <v/>
      </c>
      <c r="G106" s="278" t="str">
        <f t="array" ref="G106">IFERROR(INDEX('計測入力シート（ここのみ編集可）'!$BL$17:$BL$116,MATCH(A105&amp;B105,'計測入力シート（ここのみ編集可）'!$BO$17:$BO$116,0)),"")</f>
        <v/>
      </c>
      <c r="H106" s="279"/>
    </row>
    <row r="107" ht="27.0" customHeight="1">
      <c r="D107" s="280" t="s">
        <v>2</v>
      </c>
      <c r="E107" s="281" t="str">
        <f t="array" ref="E107">IFERROR(INDEX('計測入力シート（ここのみ編集可）'!$C$17:$C$116,MATCH(A105&amp;B105,'計測入力シート（ここのみ編集可）'!$BO$17:$BO$116,0)),"")</f>
        <v/>
      </c>
      <c r="F107" s="317" t="s">
        <v>17</v>
      </c>
      <c r="G107" s="283" t="str">
        <f t="array" ref="G107">IFERROR(INDEX('計測入力シート（ここのみ編集可）'!$D$17:$D$116,MATCH(A105&amp;B105,'計測入力シート（ここのみ編集可）'!$BO$17:$BO$116,0)),"")</f>
        <v/>
      </c>
      <c r="H107" s="284"/>
    </row>
    <row r="108" ht="27.0" customHeight="1">
      <c r="D108" s="285" t="s">
        <v>1</v>
      </c>
      <c r="E108" s="286" t="str">
        <f t="array" ref="E108">IFERROR(INDEX('計測入力シート（ここのみ編集可）'!$B$17:$B$116,MATCH(A105&amp;B105,'計測入力シート（ここのみ編集可）'!$BO$17:$BO$116,0)),"")</f>
        <v/>
      </c>
      <c r="F108" s="318" t="s">
        <v>18</v>
      </c>
      <c r="G108" s="288" t="str">
        <f t="array" ref="G108">IFERROR(INDEX('計測入力シート（ここのみ編集可）'!$E$17:$E$116,MATCH(A105&amp;B105,'計測入力シート（ここのみ編集可）'!$BO$17:$BO$116,0)),"")</f>
        <v/>
      </c>
      <c r="H108" s="289"/>
    </row>
    <row r="109" ht="24.75" customHeight="1">
      <c r="D109" s="290" t="s">
        <v>92</v>
      </c>
      <c r="E109" s="291" t="str">
        <f t="array" ref="E109">IFERROR(INDEX(#REF!,MATCH(A105&amp;B105,'計測入力シート（ここのみ編集可）'!$BO$17:$BO$116,0)),"")</f>
        <v/>
      </c>
      <c r="H109" s="232"/>
    </row>
    <row r="110" ht="52.5" customHeight="1">
      <c r="D110" s="292" t="s">
        <v>100</v>
      </c>
      <c r="E110" s="293" t="str">
        <f t="array" ref="E110">IFERROR(INDEX(#REF!,MATCH(A105&amp;B105,'計測入力シート（ここのみ編集可）'!$BO$17:$BO$116,0)),"")</f>
        <v/>
      </c>
      <c r="F110" s="95"/>
      <c r="G110" s="95"/>
      <c r="H110" s="96"/>
    </row>
    <row r="111" ht="20.25" customHeight="1">
      <c r="D111" s="294" t="s">
        <v>39</v>
      </c>
      <c r="E111" s="295" t="str">
        <f t="array" ref="E111">IFERROR(INDEX('計測入力シート（ここのみ編集可）'!$AW$17:$AW$116,MATCH(A105&amp;B105,'計測入力シート（ここのみ編集可）'!$BO$17:$BO$116,0)),"")</f>
        <v/>
      </c>
      <c r="F111" s="296"/>
      <c r="G111" s="297" t="s">
        <v>110</v>
      </c>
      <c r="H111" s="298" t="str">
        <f t="array" ref="H111">IFERROR(INDEX('計測入力シート（ここのみ編集可）'!$AY$17:$AY$116,MATCH(A105&amp;B105,'計測入力シート（ここのみ編集可）'!$BO$17:$BO$116,0)),"")</f>
        <v/>
      </c>
    </row>
    <row r="112" ht="20.25" customHeight="1">
      <c r="D112" s="299" t="s">
        <v>42</v>
      </c>
      <c r="E112" s="300" t="str">
        <f t="array" ref="E112">IFERROR(INDEX('計測入力シート（ここのみ編集可）'!$AZ$17:$AZ$116,MATCH(A105&amp;B105,'計測入力シート（ここのみ編集可）'!$BO$17:$BO$116,0)),"")</f>
        <v/>
      </c>
      <c r="F112" s="116"/>
      <c r="G112" s="301" t="s">
        <v>111</v>
      </c>
      <c r="H112" s="302" t="str">
        <f t="array" ref="H112">IFERROR(INDEX('計測入力シート（ここのみ編集可）'!$BB$17:$BB$116,MATCH(A105&amp;B105,'計測入力シート（ここのみ編集可）'!$BO$17:$BO$116,0)),"")</f>
        <v/>
      </c>
    </row>
    <row r="113" ht="20.25" customHeight="1">
      <c r="D113" s="303" t="s">
        <v>112</v>
      </c>
      <c r="E113" s="304" t="str">
        <f t="array" ref="E113">IFERROR(INDEX('計測入力シート（ここのみ編集可）'!$BC$17:$BC$116,MATCH(A105&amp;B105,'計測入力シート（ここのみ編集可）'!$BO$17:$BO$116,0)),"")</f>
        <v/>
      </c>
      <c r="F113" s="305"/>
      <c r="G113" s="306" t="s">
        <v>25</v>
      </c>
      <c r="H113" s="307" t="str">
        <f t="array" ref="H113">IFERROR(INDEX('計測入力シート（ここのみ編集可）'!$BD$17:$BD$116,MATCH(A105&amp;B105,'計測入力シート（ここのみ編集可）'!$BO$17:$BO$116,0)),"")</f>
        <v/>
      </c>
    </row>
    <row r="114" ht="20.25" customHeight="1">
      <c r="D114" s="308"/>
    </row>
    <row r="115" ht="27.0" customHeight="1">
      <c r="A115" s="52" t="str">
        <f>A105</f>
        <v>NL</v>
      </c>
      <c r="B115" s="52">
        <f>B105+1</f>
        <v>12</v>
      </c>
      <c r="D115" s="271" t="s">
        <v>80</v>
      </c>
      <c r="E115" s="272" t="s">
        <v>81</v>
      </c>
      <c r="F115" s="272" t="s">
        <v>82</v>
      </c>
      <c r="G115" s="273" t="s">
        <v>49</v>
      </c>
      <c r="H115" s="274"/>
    </row>
    <row r="116" ht="27.0" customHeight="1">
      <c r="A116" s="86"/>
      <c r="B116" s="86"/>
      <c r="D116" s="275" t="str">
        <f t="array" ref="D116">IFERROR(INDEX('計測入力シート（ここのみ編集可）'!$BN$17:$BN$116,MATCH(A115&amp;B115,'計測入力シート（ここのみ編集可）'!$BO$17:$BO$116,0)),"")</f>
        <v/>
      </c>
      <c r="E116" s="276" t="str">
        <f t="array" ref="E116">IFERROR(INDEX('計測入力シート（ここのみ編集可）'!$BP$17:$BP$116,MATCH(A115&amp;B115,'計測入力シート（ここのみ編集可）'!$BO$17:$BO$116,0)),"")</f>
        <v/>
      </c>
      <c r="F116" s="277" t="str">
        <f t="array" ref="F116">IFERROR(INDEX('計測入力シート（ここのみ編集可）'!$BR$17:$BR$116,MATCH(A115&amp;B115,'計測入力シート（ここのみ編集可）'!$BO$17:$BO$116,0)),"")</f>
        <v/>
      </c>
      <c r="G116" s="278" t="str">
        <f t="array" ref="G116">IFERROR(INDEX('計測入力シート（ここのみ編集可）'!$BL$17:$BL$116,MATCH(A115&amp;B115,'計測入力シート（ここのみ編集可）'!$BO$17:$BO$116,0)),"")</f>
        <v/>
      </c>
      <c r="H116" s="279"/>
    </row>
    <row r="117" ht="27.0" customHeight="1">
      <c r="D117" s="280" t="s">
        <v>2</v>
      </c>
      <c r="E117" s="281" t="str">
        <f t="array" ref="E117">IFERROR(INDEX('計測入力シート（ここのみ編集可）'!$C$17:$C$116,MATCH(A115&amp;B115,'計測入力シート（ここのみ編集可）'!$BO$17:$BO$116,0)),"")</f>
        <v/>
      </c>
      <c r="F117" s="317" t="s">
        <v>17</v>
      </c>
      <c r="G117" s="283" t="str">
        <f t="array" ref="G117">IFERROR(INDEX('計測入力シート（ここのみ編集可）'!$D$17:$D$116,MATCH(A115&amp;B115,'計測入力シート（ここのみ編集可）'!$BO$17:$BO$116,0)),"")</f>
        <v/>
      </c>
      <c r="H117" s="284"/>
    </row>
    <row r="118" ht="27.0" customHeight="1">
      <c r="D118" s="285" t="s">
        <v>1</v>
      </c>
      <c r="E118" s="286" t="str">
        <f t="array" ref="E118">IFERROR(INDEX('計測入力シート（ここのみ編集可）'!$B$17:$B$116,MATCH(A115&amp;B115,'計測入力シート（ここのみ編集可）'!$BO$17:$BO$116,0)),"")</f>
        <v/>
      </c>
      <c r="F118" s="318" t="s">
        <v>18</v>
      </c>
      <c r="G118" s="288" t="str">
        <f t="array" ref="G118">IFERROR(INDEX('計測入力シート（ここのみ編集可）'!$E$17:$E$116,MATCH(A115&amp;B115,'計測入力シート（ここのみ編集可）'!$BO$17:$BO$116,0)),"")</f>
        <v/>
      </c>
      <c r="H118" s="289"/>
    </row>
    <row r="119" ht="24.75" customHeight="1">
      <c r="D119" s="290" t="s">
        <v>92</v>
      </c>
      <c r="E119" s="291" t="str">
        <f t="array" ref="E119">IFERROR(INDEX(#REF!,MATCH(A115&amp;B115,'計測入力シート（ここのみ編集可）'!$BO$17:$BO$116,0)),"")</f>
        <v/>
      </c>
      <c r="H119" s="232"/>
    </row>
    <row r="120" ht="52.5" customHeight="1">
      <c r="D120" s="292" t="s">
        <v>100</v>
      </c>
      <c r="E120" s="293" t="str">
        <f t="array" ref="E120">IFERROR(INDEX(#REF!,MATCH(A115&amp;B115,'計測入力シート（ここのみ編集可）'!$BO$17:$BO$116,0)),"")</f>
        <v/>
      </c>
      <c r="F120" s="95"/>
      <c r="G120" s="95"/>
      <c r="H120" s="96"/>
    </row>
    <row r="121" ht="20.25" customHeight="1">
      <c r="D121" s="294" t="s">
        <v>39</v>
      </c>
      <c r="E121" s="295" t="str">
        <f t="array" ref="E121">IFERROR(INDEX('計測入力シート（ここのみ編集可）'!$AW$17:$AW$116,MATCH(A115&amp;B115,'計測入力シート（ここのみ編集可）'!$BO$17:$BO$116,0)),"")</f>
        <v/>
      </c>
      <c r="F121" s="296"/>
      <c r="G121" s="297" t="s">
        <v>110</v>
      </c>
      <c r="H121" s="298" t="str">
        <f t="array" ref="H121">IFERROR(INDEX('計測入力シート（ここのみ編集可）'!$AY$17:$AY$116,MATCH(A115&amp;B115,'計測入力シート（ここのみ編集可）'!$BO$17:$BO$116,0)),"")</f>
        <v/>
      </c>
    </row>
    <row r="122" ht="20.25" customHeight="1">
      <c r="D122" s="299" t="s">
        <v>42</v>
      </c>
      <c r="E122" s="300" t="str">
        <f t="array" ref="E122">IFERROR(INDEX('計測入力シート（ここのみ編集可）'!$AZ$17:$AZ$116,MATCH(A115&amp;B115,'計測入力シート（ここのみ編集可）'!$BO$17:$BO$116,0)),"")</f>
        <v/>
      </c>
      <c r="F122" s="116"/>
      <c r="G122" s="301" t="s">
        <v>111</v>
      </c>
      <c r="H122" s="302" t="str">
        <f t="array" ref="H122">IFERROR(INDEX('計測入力シート（ここのみ編集可）'!$BB$17:$BB$116,MATCH(A115&amp;B115,'計測入力シート（ここのみ編集可）'!$BO$17:$BO$116,0)),"")</f>
        <v/>
      </c>
    </row>
    <row r="123" ht="20.25" customHeight="1">
      <c r="D123" s="303" t="s">
        <v>112</v>
      </c>
      <c r="E123" s="304" t="str">
        <f t="array" ref="E123">IFERROR(INDEX('計測入力シート（ここのみ編集可）'!$BC$17:$BC$116,MATCH(A115&amp;B115,'計測入力シート（ここのみ編集可）'!$BO$17:$BO$116,0)),"")</f>
        <v/>
      </c>
      <c r="F123" s="305"/>
      <c r="G123" s="306" t="s">
        <v>25</v>
      </c>
      <c r="H123" s="307" t="str">
        <f t="array" ref="H123">IFERROR(INDEX('計測入力シート（ここのみ編集可）'!$BD$17:$BD$116,MATCH(A115&amp;B115,'計測入力シート（ここのみ編集可）'!$BO$17:$BO$116,0)),"")</f>
        <v/>
      </c>
    </row>
    <row r="124" ht="20.25" customHeight="1">
      <c r="D124" s="308"/>
    </row>
    <row r="125" ht="27.0" customHeight="1">
      <c r="A125" s="52" t="str">
        <f>A115</f>
        <v>NL</v>
      </c>
      <c r="B125" s="52">
        <f>B115+1</f>
        <v>13</v>
      </c>
      <c r="D125" s="271" t="s">
        <v>80</v>
      </c>
      <c r="E125" s="272" t="s">
        <v>81</v>
      </c>
      <c r="F125" s="272" t="s">
        <v>82</v>
      </c>
      <c r="G125" s="273" t="s">
        <v>49</v>
      </c>
      <c r="H125" s="274"/>
    </row>
    <row r="126" ht="27.0" customHeight="1">
      <c r="A126" s="86"/>
      <c r="B126" s="86"/>
      <c r="D126" s="275" t="str">
        <f t="array" ref="D126">IFERROR(INDEX('計測入力シート（ここのみ編集可）'!$BN$17:$BN$116,MATCH(A125&amp;B125,'計測入力シート（ここのみ編集可）'!$BO$17:$BO$116,0)),"")</f>
        <v/>
      </c>
      <c r="E126" s="276" t="str">
        <f t="array" ref="E126">IFERROR(INDEX('計測入力シート（ここのみ編集可）'!$BP$17:$BP$116,MATCH(A125&amp;B125,'計測入力シート（ここのみ編集可）'!$BO$17:$BO$116,0)),"")</f>
        <v/>
      </c>
      <c r="F126" s="277" t="str">
        <f t="array" ref="F126">IFERROR(INDEX('計測入力シート（ここのみ編集可）'!$BR$17:$BR$116,MATCH(A125&amp;B125,'計測入力シート（ここのみ編集可）'!$BO$17:$BO$116,0)),"")</f>
        <v/>
      </c>
      <c r="G126" s="278" t="str">
        <f t="array" ref="G126">IFERROR(INDEX('計測入力シート（ここのみ編集可）'!$BL$17:$BL$116,MATCH(A125&amp;B125,'計測入力シート（ここのみ編集可）'!$BO$17:$BO$116,0)),"")</f>
        <v/>
      </c>
      <c r="H126" s="279"/>
    </row>
    <row r="127" ht="27.0" customHeight="1">
      <c r="D127" s="280" t="s">
        <v>2</v>
      </c>
      <c r="E127" s="281" t="str">
        <f t="array" ref="E127">IFERROR(INDEX('計測入力シート（ここのみ編集可）'!$C$17:$C$116,MATCH(A125&amp;B125,'計測入力シート（ここのみ編集可）'!$BO$17:$BO$116,0)),"")</f>
        <v/>
      </c>
      <c r="F127" s="317" t="s">
        <v>17</v>
      </c>
      <c r="G127" s="283" t="str">
        <f t="array" ref="G127">IFERROR(INDEX('計測入力シート（ここのみ編集可）'!$D$17:$D$116,MATCH(A125&amp;B125,'計測入力シート（ここのみ編集可）'!$BO$17:$BO$116,0)),"")</f>
        <v/>
      </c>
      <c r="H127" s="284"/>
    </row>
    <row r="128" ht="27.0" customHeight="1">
      <c r="D128" s="285" t="s">
        <v>1</v>
      </c>
      <c r="E128" s="286" t="str">
        <f t="array" ref="E128">IFERROR(INDEX('計測入力シート（ここのみ編集可）'!$B$17:$B$116,MATCH(A125&amp;B125,'計測入力シート（ここのみ編集可）'!$BO$17:$BO$116,0)),"")</f>
        <v/>
      </c>
      <c r="F128" s="318" t="s">
        <v>18</v>
      </c>
      <c r="G128" s="288" t="str">
        <f t="array" ref="G128">IFERROR(INDEX('計測入力シート（ここのみ編集可）'!$E$17:$E$116,MATCH(A125&amp;B125,'計測入力シート（ここのみ編集可）'!$BO$17:$BO$116,0)),"")</f>
        <v/>
      </c>
      <c r="H128" s="289"/>
    </row>
    <row r="129" ht="24.75" customHeight="1">
      <c r="D129" s="290" t="s">
        <v>92</v>
      </c>
      <c r="E129" s="291" t="str">
        <f t="array" ref="E129">IFERROR(INDEX(#REF!,MATCH(A125&amp;B125,'計測入力シート（ここのみ編集可）'!$BO$17:$BO$116,0)),"")</f>
        <v/>
      </c>
      <c r="H129" s="232"/>
    </row>
    <row r="130" ht="52.5" customHeight="1">
      <c r="D130" s="292" t="s">
        <v>100</v>
      </c>
      <c r="E130" s="293" t="str">
        <f t="array" ref="E130">IFERROR(INDEX(#REF!,MATCH(A125&amp;B125,'計測入力シート（ここのみ編集可）'!$BO$17:$BO$116,0)),"")</f>
        <v/>
      </c>
      <c r="F130" s="95"/>
      <c r="G130" s="95"/>
      <c r="H130" s="96"/>
    </row>
    <row r="131" ht="20.25" customHeight="1">
      <c r="D131" s="294" t="s">
        <v>39</v>
      </c>
      <c r="E131" s="295" t="str">
        <f t="array" ref="E131">IFERROR(INDEX('計測入力シート（ここのみ編集可）'!$AW$17:$AW$116,MATCH(A125&amp;B125,'計測入力シート（ここのみ編集可）'!$BO$17:$BO$116,0)),"")</f>
        <v/>
      </c>
      <c r="F131" s="296"/>
      <c r="G131" s="297" t="s">
        <v>110</v>
      </c>
      <c r="H131" s="298" t="str">
        <f t="array" ref="H131">IFERROR(INDEX('計測入力シート（ここのみ編集可）'!$AY$17:$AY$116,MATCH(A125&amp;B125,'計測入力シート（ここのみ編集可）'!$BO$17:$BO$116,0)),"")</f>
        <v/>
      </c>
    </row>
    <row r="132" ht="20.25" customHeight="1">
      <c r="D132" s="299" t="s">
        <v>42</v>
      </c>
      <c r="E132" s="300" t="str">
        <f t="array" ref="E132">IFERROR(INDEX('計測入力シート（ここのみ編集可）'!$AZ$17:$AZ$116,MATCH(A125&amp;B125,'計測入力シート（ここのみ編集可）'!$BO$17:$BO$116,0)),"")</f>
        <v/>
      </c>
      <c r="F132" s="116"/>
      <c r="G132" s="301" t="s">
        <v>111</v>
      </c>
      <c r="H132" s="302" t="str">
        <f t="array" ref="H132">IFERROR(INDEX('計測入力シート（ここのみ編集可）'!$BB$17:$BB$116,MATCH(A125&amp;B125,'計測入力シート（ここのみ編集可）'!$BO$17:$BO$116,0)),"")</f>
        <v/>
      </c>
    </row>
    <row r="133" ht="20.25" customHeight="1">
      <c r="D133" s="303" t="s">
        <v>112</v>
      </c>
      <c r="E133" s="304" t="str">
        <f t="array" ref="E133">IFERROR(INDEX('計測入力シート（ここのみ編集可）'!$BC$17:$BC$116,MATCH(A125&amp;B125,'計測入力シート（ここのみ編集可）'!$BO$17:$BO$116,0)),"")</f>
        <v/>
      </c>
      <c r="F133" s="305"/>
      <c r="G133" s="306" t="s">
        <v>25</v>
      </c>
      <c r="H133" s="307" t="str">
        <f t="array" ref="H133">IFERROR(INDEX('計測入力シート（ここのみ編集可）'!$BD$17:$BD$116,MATCH(A125&amp;B125,'計測入力シート（ここのみ編集可）'!$BO$17:$BO$116,0)),"")</f>
        <v/>
      </c>
    </row>
    <row r="134" ht="20.25" customHeight="1">
      <c r="D134" s="308"/>
    </row>
    <row r="135" ht="27.0" customHeight="1">
      <c r="A135" s="52" t="str">
        <f>A125</f>
        <v>NL</v>
      </c>
      <c r="B135" s="52">
        <f>B125+1</f>
        <v>14</v>
      </c>
      <c r="D135" s="271" t="s">
        <v>80</v>
      </c>
      <c r="E135" s="272" t="s">
        <v>81</v>
      </c>
      <c r="F135" s="272" t="s">
        <v>82</v>
      </c>
      <c r="G135" s="273" t="s">
        <v>49</v>
      </c>
      <c r="H135" s="274"/>
    </row>
    <row r="136" ht="27.0" customHeight="1">
      <c r="A136" s="86"/>
      <c r="B136" s="86"/>
      <c r="D136" s="275" t="str">
        <f t="array" ref="D136">IFERROR(INDEX('計測入力シート（ここのみ編集可）'!$BN$17:$BN$116,MATCH(A135&amp;B135,'計測入力シート（ここのみ編集可）'!$BO$17:$BO$116,0)),"")</f>
        <v/>
      </c>
      <c r="E136" s="276" t="str">
        <f t="array" ref="E136">IFERROR(INDEX('計測入力シート（ここのみ編集可）'!$BP$17:$BP$116,MATCH(A135&amp;B135,'計測入力シート（ここのみ編集可）'!$BO$17:$BO$116,0)),"")</f>
        <v/>
      </c>
      <c r="F136" s="277" t="str">
        <f t="array" ref="F136">IFERROR(INDEX('計測入力シート（ここのみ編集可）'!$BR$17:$BR$116,MATCH(A135&amp;B135,'計測入力シート（ここのみ編集可）'!$BO$17:$BO$116,0)),"")</f>
        <v/>
      </c>
      <c r="G136" s="278" t="str">
        <f t="array" ref="G136">IFERROR(INDEX('計測入力シート（ここのみ編集可）'!$BL$17:$BL$116,MATCH(A135&amp;B135,'計測入力シート（ここのみ編集可）'!$BO$17:$BO$116,0)),"")</f>
        <v/>
      </c>
      <c r="H136" s="279"/>
    </row>
    <row r="137" ht="27.0" customHeight="1">
      <c r="D137" s="280" t="s">
        <v>2</v>
      </c>
      <c r="E137" s="281" t="str">
        <f t="array" ref="E137">IFERROR(INDEX('計測入力シート（ここのみ編集可）'!$C$17:$C$116,MATCH(A135&amp;B135,'計測入力シート（ここのみ編集可）'!$BO$17:$BO$116,0)),"")</f>
        <v/>
      </c>
      <c r="F137" s="317" t="s">
        <v>17</v>
      </c>
      <c r="G137" s="283" t="str">
        <f t="array" ref="G137">IFERROR(INDEX('計測入力シート（ここのみ編集可）'!$D$17:$D$116,MATCH(A135&amp;B135,'計測入力シート（ここのみ編集可）'!$BO$17:$BO$116,0)),"")</f>
        <v/>
      </c>
      <c r="H137" s="284"/>
    </row>
    <row r="138" ht="27.0" customHeight="1">
      <c r="D138" s="285" t="s">
        <v>1</v>
      </c>
      <c r="E138" s="286" t="str">
        <f t="array" ref="E138">IFERROR(INDEX('計測入力シート（ここのみ編集可）'!$B$17:$B$116,MATCH(A135&amp;B135,'計測入力シート（ここのみ編集可）'!$BO$17:$BO$116,0)),"")</f>
        <v/>
      </c>
      <c r="F138" s="318" t="s">
        <v>18</v>
      </c>
      <c r="G138" s="288" t="str">
        <f t="array" ref="G138">IFERROR(INDEX('計測入力シート（ここのみ編集可）'!$E$17:$E$116,MATCH(A135&amp;B135,'計測入力シート（ここのみ編集可）'!$BO$17:$BO$116,0)),"")</f>
        <v/>
      </c>
      <c r="H138" s="289"/>
    </row>
    <row r="139" ht="24.75" customHeight="1">
      <c r="D139" s="290" t="s">
        <v>92</v>
      </c>
      <c r="E139" s="291" t="str">
        <f t="array" ref="E139">IFERROR(INDEX(#REF!,MATCH(A135&amp;B135,'計測入力シート（ここのみ編集可）'!$BO$17:$BO$116,0)),"")</f>
        <v/>
      </c>
      <c r="H139" s="232"/>
    </row>
    <row r="140" ht="52.5" customHeight="1">
      <c r="D140" s="292" t="s">
        <v>100</v>
      </c>
      <c r="E140" s="293" t="str">
        <f t="array" ref="E140">IFERROR(INDEX(#REF!,MATCH(A135&amp;B135,'計測入力シート（ここのみ編集可）'!$BO$17:$BO$116,0)),"")</f>
        <v/>
      </c>
      <c r="F140" s="95"/>
      <c r="G140" s="95"/>
      <c r="H140" s="96"/>
    </row>
    <row r="141" ht="20.25" customHeight="1">
      <c r="D141" s="294" t="s">
        <v>39</v>
      </c>
      <c r="E141" s="295" t="str">
        <f t="array" ref="E141">IFERROR(INDEX('計測入力シート（ここのみ編集可）'!$AW$17:$AW$116,MATCH(A135&amp;B135,'計測入力シート（ここのみ編集可）'!$BO$17:$BO$116,0)),"")</f>
        <v/>
      </c>
      <c r="F141" s="296"/>
      <c r="G141" s="297" t="s">
        <v>110</v>
      </c>
      <c r="H141" s="298" t="str">
        <f t="array" ref="H141">IFERROR(INDEX('計測入力シート（ここのみ編集可）'!$AY$17:$AY$116,MATCH(A135&amp;B135,'計測入力シート（ここのみ編集可）'!$BO$17:$BO$116,0)),"")</f>
        <v/>
      </c>
    </row>
    <row r="142" ht="20.25" customHeight="1">
      <c r="D142" s="299" t="s">
        <v>42</v>
      </c>
      <c r="E142" s="300" t="str">
        <f t="array" ref="E142">IFERROR(INDEX('計測入力シート（ここのみ編集可）'!$AZ$17:$AZ$116,MATCH(A135&amp;B135,'計測入力シート（ここのみ編集可）'!$BO$17:$BO$116,0)),"")</f>
        <v/>
      </c>
      <c r="F142" s="116"/>
      <c r="G142" s="301" t="s">
        <v>111</v>
      </c>
      <c r="H142" s="302" t="str">
        <f t="array" ref="H142">IFERROR(INDEX('計測入力シート（ここのみ編集可）'!$BB$17:$BB$116,MATCH(A135&amp;B135,'計測入力シート（ここのみ編集可）'!$BO$17:$BO$116,0)),"")</f>
        <v/>
      </c>
    </row>
    <row r="143" ht="20.25" customHeight="1">
      <c r="D143" s="303" t="s">
        <v>112</v>
      </c>
      <c r="E143" s="304" t="str">
        <f t="array" ref="E143">IFERROR(INDEX('計測入力シート（ここのみ編集可）'!$BC$17:$BC$116,MATCH(A135&amp;B135,'計測入力シート（ここのみ編集可）'!$BO$17:$BO$116,0)),"")</f>
        <v/>
      </c>
      <c r="F143" s="305"/>
      <c r="G143" s="306" t="s">
        <v>25</v>
      </c>
      <c r="H143" s="307" t="str">
        <f t="array" ref="H143">IFERROR(INDEX('計測入力シート（ここのみ編集可）'!$BD$17:$BD$116,MATCH(A135&amp;B135,'計測入力シート（ここのみ編集可）'!$BO$17:$BO$116,0)),"")</f>
        <v/>
      </c>
    </row>
    <row r="144" ht="20.25" customHeight="1">
      <c r="D144" s="308"/>
    </row>
    <row r="145" ht="27.0" customHeight="1">
      <c r="A145" s="52" t="str">
        <f>A135</f>
        <v>NL</v>
      </c>
      <c r="B145" s="52">
        <f>B135+1</f>
        <v>15</v>
      </c>
      <c r="D145" s="271" t="s">
        <v>80</v>
      </c>
      <c r="E145" s="272" t="s">
        <v>81</v>
      </c>
      <c r="F145" s="272" t="s">
        <v>82</v>
      </c>
      <c r="G145" s="273" t="s">
        <v>49</v>
      </c>
      <c r="H145" s="274"/>
    </row>
    <row r="146" ht="27.0" customHeight="1">
      <c r="A146" s="86"/>
      <c r="B146" s="86"/>
      <c r="D146" s="275" t="str">
        <f t="array" ref="D146">IFERROR(INDEX('計測入力シート（ここのみ編集可）'!$BN$17:$BN$116,MATCH(A145&amp;B145,'計測入力シート（ここのみ編集可）'!$BO$17:$BO$116,0)),"")</f>
        <v/>
      </c>
      <c r="E146" s="276" t="str">
        <f t="array" ref="E146">IFERROR(INDEX('計測入力シート（ここのみ編集可）'!$BP$17:$BP$116,MATCH(A145&amp;B145,'計測入力シート（ここのみ編集可）'!$BO$17:$BO$116,0)),"")</f>
        <v/>
      </c>
      <c r="F146" s="277" t="str">
        <f t="array" ref="F146">IFERROR(INDEX('計測入力シート（ここのみ編集可）'!$BR$17:$BR$116,MATCH(A145&amp;B145,'計測入力シート（ここのみ編集可）'!$BO$17:$BO$116,0)),"")</f>
        <v/>
      </c>
      <c r="G146" s="278" t="str">
        <f t="array" ref="G146">IFERROR(INDEX('計測入力シート（ここのみ編集可）'!$BL$17:$BL$116,MATCH(A145&amp;B145,'計測入力シート（ここのみ編集可）'!$BO$17:$BO$116,0)),"")</f>
        <v/>
      </c>
      <c r="H146" s="279"/>
    </row>
    <row r="147" ht="27.0" customHeight="1">
      <c r="D147" s="280" t="s">
        <v>2</v>
      </c>
      <c r="E147" s="281" t="str">
        <f t="array" ref="E147">IFERROR(INDEX('計測入力シート（ここのみ編集可）'!$C$17:$C$116,MATCH(A145&amp;B145,'計測入力シート（ここのみ編集可）'!$BO$17:$BO$116,0)),"")</f>
        <v/>
      </c>
      <c r="F147" s="317" t="s">
        <v>17</v>
      </c>
      <c r="G147" s="283" t="str">
        <f t="array" ref="G147">IFERROR(INDEX('計測入力シート（ここのみ編集可）'!$D$17:$D$116,MATCH(A145&amp;B145,'計測入力シート（ここのみ編集可）'!$BO$17:$BO$116,0)),"")</f>
        <v/>
      </c>
      <c r="H147" s="284"/>
    </row>
    <row r="148" ht="27.0" customHeight="1">
      <c r="D148" s="285" t="s">
        <v>1</v>
      </c>
      <c r="E148" s="286" t="str">
        <f t="array" ref="E148">IFERROR(INDEX('計測入力シート（ここのみ編集可）'!$B$17:$B$116,MATCH(A145&amp;B145,'計測入力シート（ここのみ編集可）'!$BO$17:$BO$116,0)),"")</f>
        <v/>
      </c>
      <c r="F148" s="318" t="s">
        <v>18</v>
      </c>
      <c r="G148" s="288" t="str">
        <f t="array" ref="G148">IFERROR(INDEX('計測入力シート（ここのみ編集可）'!$E$17:$E$116,MATCH(A145&amp;B145,'計測入力シート（ここのみ編集可）'!$BO$17:$BO$116,0)),"")</f>
        <v/>
      </c>
      <c r="H148" s="289"/>
    </row>
    <row r="149" ht="24.75" customHeight="1">
      <c r="D149" s="290" t="s">
        <v>92</v>
      </c>
      <c r="E149" s="291" t="str">
        <f t="array" ref="E149">IFERROR(INDEX(#REF!,MATCH(A145&amp;B145,'計測入力シート（ここのみ編集可）'!$BO$17:$BO$116,0)),"")</f>
        <v/>
      </c>
      <c r="H149" s="232"/>
    </row>
    <row r="150" ht="52.5" customHeight="1">
      <c r="D150" s="292" t="s">
        <v>100</v>
      </c>
      <c r="E150" s="293" t="str">
        <f t="array" ref="E150">IFERROR(INDEX(#REF!,MATCH(A145&amp;B145,'計測入力シート（ここのみ編集可）'!$BO$17:$BO$116,0)),"")</f>
        <v/>
      </c>
      <c r="F150" s="95"/>
      <c r="G150" s="95"/>
      <c r="H150" s="96"/>
    </row>
    <row r="151" ht="20.25" customHeight="1">
      <c r="D151" s="294" t="s">
        <v>39</v>
      </c>
      <c r="E151" s="295" t="str">
        <f t="array" ref="E151">IFERROR(INDEX('計測入力シート（ここのみ編集可）'!$AW$17:$AW$116,MATCH(A145&amp;B145,'計測入力シート（ここのみ編集可）'!$BO$17:$BO$116,0)),"")</f>
        <v/>
      </c>
      <c r="F151" s="296"/>
      <c r="G151" s="297" t="s">
        <v>110</v>
      </c>
      <c r="H151" s="298" t="str">
        <f t="array" ref="H151">IFERROR(INDEX('計測入力シート（ここのみ編集可）'!$AY$17:$AY$116,MATCH(A145&amp;B145,'計測入力シート（ここのみ編集可）'!$BO$17:$BO$116,0)),"")</f>
        <v/>
      </c>
    </row>
    <row r="152" ht="20.25" customHeight="1">
      <c r="D152" s="299" t="s">
        <v>42</v>
      </c>
      <c r="E152" s="300" t="str">
        <f t="array" ref="E152">IFERROR(INDEX('計測入力シート（ここのみ編集可）'!$AZ$17:$AZ$116,MATCH(A145&amp;B145,'計測入力シート（ここのみ編集可）'!$BO$17:$BO$116,0)),"")</f>
        <v/>
      </c>
      <c r="F152" s="116"/>
      <c r="G152" s="301" t="s">
        <v>111</v>
      </c>
      <c r="H152" s="302" t="str">
        <f t="array" ref="H152">IFERROR(INDEX('計測入力シート（ここのみ編集可）'!$BB$17:$BB$116,MATCH(A145&amp;B145,'計測入力シート（ここのみ編集可）'!$BO$17:$BO$116,0)),"")</f>
        <v/>
      </c>
    </row>
    <row r="153" ht="20.25" customHeight="1">
      <c r="D153" s="303" t="s">
        <v>112</v>
      </c>
      <c r="E153" s="304" t="str">
        <f t="array" ref="E153">IFERROR(INDEX('計測入力シート（ここのみ編集可）'!$BC$17:$BC$116,MATCH(A145&amp;B145,'計測入力シート（ここのみ編集可）'!$BO$17:$BO$116,0)),"")</f>
        <v/>
      </c>
      <c r="F153" s="305"/>
      <c r="G153" s="306" t="s">
        <v>25</v>
      </c>
      <c r="H153" s="307" t="str">
        <f t="array" ref="H153">IFERROR(INDEX('計測入力シート（ここのみ編集可）'!$BD$17:$BD$116,MATCH(A145&amp;B145,'計測入力シート（ここのみ編集可）'!$BO$17:$BO$116,0)),"")</f>
        <v/>
      </c>
    </row>
    <row r="154" ht="20.25" customHeight="1">
      <c r="D154" s="308"/>
    </row>
    <row r="155" ht="27.0" customHeight="1">
      <c r="A155" s="52" t="str">
        <f>A145</f>
        <v>NL</v>
      </c>
      <c r="B155" s="52">
        <f>B145+1</f>
        <v>16</v>
      </c>
      <c r="D155" s="271" t="s">
        <v>80</v>
      </c>
      <c r="E155" s="272" t="s">
        <v>81</v>
      </c>
      <c r="F155" s="272" t="s">
        <v>82</v>
      </c>
      <c r="G155" s="273" t="s">
        <v>49</v>
      </c>
      <c r="H155" s="274"/>
    </row>
    <row r="156" ht="27.0" customHeight="1">
      <c r="A156" s="86"/>
      <c r="B156" s="86"/>
      <c r="D156" s="275" t="str">
        <f t="array" ref="D156">IFERROR(INDEX('計測入力シート（ここのみ編集可）'!$BN$17:$BN$116,MATCH(A155&amp;B155,'計測入力シート（ここのみ編集可）'!$BO$17:$BO$116,0)),"")</f>
        <v/>
      </c>
      <c r="E156" s="276" t="str">
        <f t="array" ref="E156">IFERROR(INDEX('計測入力シート（ここのみ編集可）'!$BP$17:$BP$116,MATCH(A155&amp;B155,'計測入力シート（ここのみ編集可）'!$BO$17:$BO$116,0)),"")</f>
        <v/>
      </c>
      <c r="F156" s="277" t="str">
        <f t="array" ref="F156">IFERROR(INDEX('計測入力シート（ここのみ編集可）'!$BR$17:$BR$116,MATCH(A155&amp;B155,'計測入力シート（ここのみ編集可）'!$BO$17:$BO$116,0)),"")</f>
        <v/>
      </c>
      <c r="G156" s="278" t="str">
        <f t="array" ref="G156">IFERROR(INDEX('計測入力シート（ここのみ編集可）'!$BL$17:$BL$116,MATCH(A155&amp;B155,'計測入力シート（ここのみ編集可）'!$BO$17:$BO$116,0)),"")</f>
        <v/>
      </c>
      <c r="H156" s="279"/>
    </row>
    <row r="157" ht="27.0" customHeight="1">
      <c r="D157" s="280" t="s">
        <v>2</v>
      </c>
      <c r="E157" s="281" t="str">
        <f t="array" ref="E157">IFERROR(INDEX('計測入力シート（ここのみ編集可）'!$C$17:$C$116,MATCH(A155&amp;B155,'計測入力シート（ここのみ編集可）'!$BO$17:$BO$116,0)),"")</f>
        <v/>
      </c>
      <c r="F157" s="317" t="s">
        <v>17</v>
      </c>
      <c r="G157" s="283" t="str">
        <f t="array" ref="G157">IFERROR(INDEX('計測入力シート（ここのみ編集可）'!$D$17:$D$116,MATCH(A155&amp;B155,'計測入力シート（ここのみ編集可）'!$BO$17:$BO$116,0)),"")</f>
        <v/>
      </c>
      <c r="H157" s="284"/>
    </row>
    <row r="158" ht="27.0" customHeight="1">
      <c r="D158" s="285" t="s">
        <v>1</v>
      </c>
      <c r="E158" s="286" t="str">
        <f t="array" ref="E158">IFERROR(INDEX('計測入力シート（ここのみ編集可）'!$B$17:$B$116,MATCH(A155&amp;B155,'計測入力シート（ここのみ編集可）'!$BO$17:$BO$116,0)),"")</f>
        <v/>
      </c>
      <c r="F158" s="318" t="s">
        <v>18</v>
      </c>
      <c r="G158" s="288" t="str">
        <f t="array" ref="G158">IFERROR(INDEX('計測入力シート（ここのみ編集可）'!$E$17:$E$116,MATCH(A155&amp;B155,'計測入力シート（ここのみ編集可）'!$BO$17:$BO$116,0)),"")</f>
        <v/>
      </c>
      <c r="H158" s="289"/>
    </row>
    <row r="159" ht="24.75" customHeight="1">
      <c r="D159" s="290" t="s">
        <v>92</v>
      </c>
      <c r="E159" s="291" t="str">
        <f t="array" ref="E159">IFERROR(INDEX(#REF!,MATCH(A155&amp;B155,'計測入力シート（ここのみ編集可）'!$BO$17:$BO$116,0)),"")</f>
        <v/>
      </c>
      <c r="H159" s="232"/>
    </row>
    <row r="160" ht="52.5" customHeight="1">
      <c r="D160" s="292" t="s">
        <v>100</v>
      </c>
      <c r="E160" s="293" t="str">
        <f t="array" ref="E160">IFERROR(INDEX(#REF!,MATCH(A155&amp;B155,'計測入力シート（ここのみ編集可）'!$BO$17:$BO$116,0)),"")</f>
        <v/>
      </c>
      <c r="F160" s="95"/>
      <c r="G160" s="95"/>
      <c r="H160" s="96"/>
    </row>
    <row r="161" ht="20.25" customHeight="1">
      <c r="D161" s="294" t="s">
        <v>39</v>
      </c>
      <c r="E161" s="295" t="str">
        <f t="array" ref="E161">IFERROR(INDEX('計測入力シート（ここのみ編集可）'!$AW$17:$AW$116,MATCH(A155&amp;B155,'計測入力シート（ここのみ編集可）'!$BO$17:$BO$116,0)),"")</f>
        <v/>
      </c>
      <c r="F161" s="296"/>
      <c r="G161" s="297" t="s">
        <v>110</v>
      </c>
      <c r="H161" s="298" t="str">
        <f t="array" ref="H161">IFERROR(INDEX('計測入力シート（ここのみ編集可）'!$AY$17:$AY$116,MATCH(A155&amp;B155,'計測入力シート（ここのみ編集可）'!$BO$17:$BO$116,0)),"")</f>
        <v/>
      </c>
    </row>
    <row r="162" ht="20.25" customHeight="1">
      <c r="D162" s="299" t="s">
        <v>42</v>
      </c>
      <c r="E162" s="300" t="str">
        <f t="array" ref="E162">IFERROR(INDEX('計測入力シート（ここのみ編集可）'!$AZ$17:$AZ$116,MATCH(A155&amp;B155,'計測入力シート（ここのみ編集可）'!$BO$17:$BO$116,0)),"")</f>
        <v/>
      </c>
      <c r="F162" s="116"/>
      <c r="G162" s="301" t="s">
        <v>111</v>
      </c>
      <c r="H162" s="302" t="str">
        <f t="array" ref="H162">IFERROR(INDEX('計測入力シート（ここのみ編集可）'!$BB$17:$BB$116,MATCH(A155&amp;B155,'計測入力シート（ここのみ編集可）'!$BO$17:$BO$116,0)),"")</f>
        <v/>
      </c>
    </row>
    <row r="163" ht="20.25" customHeight="1">
      <c r="D163" s="303" t="s">
        <v>112</v>
      </c>
      <c r="E163" s="304" t="str">
        <f t="array" ref="E163">IFERROR(INDEX('計測入力シート（ここのみ編集可）'!$BC$17:$BC$116,MATCH(A155&amp;B155,'計測入力シート（ここのみ編集可）'!$BO$17:$BO$116,0)),"")</f>
        <v/>
      </c>
      <c r="F163" s="305"/>
      <c r="G163" s="306" t="s">
        <v>25</v>
      </c>
      <c r="H163" s="307" t="str">
        <f t="array" ref="H163">IFERROR(INDEX('計測入力シート（ここのみ編集可）'!$BD$17:$BD$116,MATCH(A155&amp;B155,'計測入力シート（ここのみ編集可）'!$BO$17:$BO$116,0)),"")</f>
        <v/>
      </c>
    </row>
    <row r="164" ht="20.25" customHeight="1">
      <c r="D164" s="308"/>
    </row>
    <row r="165" ht="27.0" customHeight="1">
      <c r="A165" s="52" t="str">
        <f>A155</f>
        <v>NL</v>
      </c>
      <c r="B165" s="52">
        <f>B155+1</f>
        <v>17</v>
      </c>
      <c r="D165" s="271" t="s">
        <v>80</v>
      </c>
      <c r="E165" s="272" t="s">
        <v>81</v>
      </c>
      <c r="F165" s="272" t="s">
        <v>82</v>
      </c>
      <c r="G165" s="273" t="s">
        <v>49</v>
      </c>
      <c r="H165" s="274"/>
    </row>
    <row r="166" ht="27.0" customHeight="1">
      <c r="A166" s="86"/>
      <c r="B166" s="86"/>
      <c r="D166" s="275" t="str">
        <f t="array" ref="D166">IFERROR(INDEX('計測入力シート（ここのみ編集可）'!$BN$17:$BN$116,MATCH(A165&amp;B165,'計測入力シート（ここのみ編集可）'!$BO$17:$BO$116,0)),"")</f>
        <v/>
      </c>
      <c r="E166" s="276" t="str">
        <f t="array" ref="E166">IFERROR(INDEX('計測入力シート（ここのみ編集可）'!$BP$17:$BP$116,MATCH(A165&amp;B165,'計測入力シート（ここのみ編集可）'!$BO$17:$BO$116,0)),"")</f>
        <v/>
      </c>
      <c r="F166" s="277" t="str">
        <f t="array" ref="F166">IFERROR(INDEX('計測入力シート（ここのみ編集可）'!$BR$17:$BR$116,MATCH(A165&amp;B165,'計測入力シート（ここのみ編集可）'!$BO$17:$BO$116,0)),"")</f>
        <v/>
      </c>
      <c r="G166" s="278" t="str">
        <f t="array" ref="G166">IFERROR(INDEX('計測入力シート（ここのみ編集可）'!$BL$17:$BL$116,MATCH(A165&amp;B165,'計測入力シート（ここのみ編集可）'!$BO$17:$BO$116,0)),"")</f>
        <v/>
      </c>
      <c r="H166" s="279"/>
    </row>
    <row r="167" ht="27.0" customHeight="1">
      <c r="D167" s="280" t="s">
        <v>2</v>
      </c>
      <c r="E167" s="281" t="str">
        <f t="array" ref="E167">IFERROR(INDEX('計測入力シート（ここのみ編集可）'!$C$17:$C$116,MATCH(A165&amp;B165,'計測入力シート（ここのみ編集可）'!$BO$17:$BO$116,0)),"")</f>
        <v/>
      </c>
      <c r="F167" s="317" t="s">
        <v>17</v>
      </c>
      <c r="G167" s="283" t="str">
        <f t="array" ref="G167">IFERROR(INDEX('計測入力シート（ここのみ編集可）'!$D$17:$D$116,MATCH(A165&amp;B165,'計測入力シート（ここのみ編集可）'!$BO$17:$BO$116,0)),"")</f>
        <v/>
      </c>
      <c r="H167" s="284"/>
    </row>
    <row r="168" ht="27.0" customHeight="1">
      <c r="D168" s="285" t="s">
        <v>1</v>
      </c>
      <c r="E168" s="286" t="str">
        <f t="array" ref="E168">IFERROR(INDEX('計測入力シート（ここのみ編集可）'!$B$17:$B$116,MATCH(A165&amp;B165,'計測入力シート（ここのみ編集可）'!$BO$17:$BO$116,0)),"")</f>
        <v/>
      </c>
      <c r="F168" s="318" t="s">
        <v>18</v>
      </c>
      <c r="G168" s="288" t="str">
        <f t="array" ref="G168">IFERROR(INDEX('計測入力シート（ここのみ編集可）'!$E$17:$E$116,MATCH(A165&amp;B165,'計測入力シート（ここのみ編集可）'!$BO$17:$BO$116,0)),"")</f>
        <v/>
      </c>
      <c r="H168" s="289"/>
    </row>
    <row r="169" ht="24.75" customHeight="1">
      <c r="D169" s="290" t="s">
        <v>92</v>
      </c>
      <c r="E169" s="291" t="str">
        <f t="array" ref="E169">IFERROR(INDEX(#REF!,MATCH(A165&amp;B165,'計測入力シート（ここのみ編集可）'!$BO$17:$BO$116,0)),"")</f>
        <v/>
      </c>
      <c r="H169" s="232"/>
    </row>
    <row r="170" ht="52.5" customHeight="1">
      <c r="D170" s="292" t="s">
        <v>100</v>
      </c>
      <c r="E170" s="293" t="str">
        <f t="array" ref="E170">IFERROR(INDEX(#REF!,MATCH(A165&amp;B165,'計測入力シート（ここのみ編集可）'!$BO$17:$BO$116,0)),"")</f>
        <v/>
      </c>
      <c r="F170" s="95"/>
      <c r="G170" s="95"/>
      <c r="H170" s="96"/>
    </row>
    <row r="171" ht="20.25" customHeight="1">
      <c r="D171" s="294" t="s">
        <v>39</v>
      </c>
      <c r="E171" s="295" t="str">
        <f t="array" ref="E171">IFERROR(INDEX('計測入力シート（ここのみ編集可）'!$AW$17:$AW$116,MATCH(A165&amp;B165,'計測入力シート（ここのみ編集可）'!$BO$17:$BO$116,0)),"")</f>
        <v/>
      </c>
      <c r="F171" s="296"/>
      <c r="G171" s="297" t="s">
        <v>110</v>
      </c>
      <c r="H171" s="298" t="str">
        <f t="array" ref="H171">IFERROR(INDEX('計測入力シート（ここのみ編集可）'!$AY$17:$AY$116,MATCH(A165&amp;B165,'計測入力シート（ここのみ編集可）'!$BO$17:$BO$116,0)),"")</f>
        <v/>
      </c>
    </row>
    <row r="172" ht="20.25" customHeight="1">
      <c r="D172" s="299" t="s">
        <v>42</v>
      </c>
      <c r="E172" s="300" t="str">
        <f t="array" ref="E172">IFERROR(INDEX('計測入力シート（ここのみ編集可）'!$AZ$17:$AZ$116,MATCH(A165&amp;B165,'計測入力シート（ここのみ編集可）'!$BO$17:$BO$116,0)),"")</f>
        <v/>
      </c>
      <c r="F172" s="116"/>
      <c r="G172" s="301" t="s">
        <v>111</v>
      </c>
      <c r="H172" s="302" t="str">
        <f t="array" ref="H172">IFERROR(INDEX('計測入力シート（ここのみ編集可）'!$BB$17:$BB$116,MATCH(A165&amp;B165,'計測入力シート（ここのみ編集可）'!$BO$17:$BO$116,0)),"")</f>
        <v/>
      </c>
    </row>
    <row r="173" ht="20.25" customHeight="1">
      <c r="D173" s="303" t="s">
        <v>112</v>
      </c>
      <c r="E173" s="304" t="str">
        <f t="array" ref="E173">IFERROR(INDEX('計測入力シート（ここのみ編集可）'!$BC$17:$BC$116,MATCH(A165&amp;B165,'計測入力シート（ここのみ編集可）'!$BO$17:$BO$116,0)),"")</f>
        <v/>
      </c>
      <c r="F173" s="305"/>
      <c r="G173" s="306" t="s">
        <v>25</v>
      </c>
      <c r="H173" s="307" t="str">
        <f t="array" ref="H173">IFERROR(INDEX('計測入力シート（ここのみ編集可）'!$BD$17:$BD$116,MATCH(A165&amp;B165,'計測入力シート（ここのみ編集可）'!$BO$17:$BO$116,0)),"")</f>
        <v/>
      </c>
    </row>
    <row r="174" ht="20.25" customHeight="1">
      <c r="D174" s="308"/>
    </row>
    <row r="175" ht="27.0" customHeight="1">
      <c r="A175" s="52" t="str">
        <f>A165</f>
        <v>NL</v>
      </c>
      <c r="B175" s="52">
        <f>B165+1</f>
        <v>18</v>
      </c>
      <c r="D175" s="271" t="s">
        <v>80</v>
      </c>
      <c r="E175" s="272" t="s">
        <v>81</v>
      </c>
      <c r="F175" s="272" t="s">
        <v>82</v>
      </c>
      <c r="G175" s="273" t="s">
        <v>49</v>
      </c>
      <c r="H175" s="274"/>
    </row>
    <row r="176" ht="27.0" customHeight="1">
      <c r="A176" s="86"/>
      <c r="B176" s="86"/>
      <c r="D176" s="275" t="str">
        <f t="array" ref="D176">IFERROR(INDEX('計測入力シート（ここのみ編集可）'!$BN$17:$BN$116,MATCH(A175&amp;B175,'計測入力シート（ここのみ編集可）'!$BO$17:$BO$116,0)),"")</f>
        <v/>
      </c>
      <c r="E176" s="276" t="str">
        <f t="array" ref="E176">IFERROR(INDEX('計測入力シート（ここのみ編集可）'!$BP$17:$BP$116,MATCH(A175&amp;B175,'計測入力シート（ここのみ編集可）'!$BO$17:$BO$116,0)),"")</f>
        <v/>
      </c>
      <c r="F176" s="277" t="str">
        <f t="array" ref="F176">IFERROR(INDEX('計測入力シート（ここのみ編集可）'!$BR$17:$BR$116,MATCH(A175&amp;B175,'計測入力シート（ここのみ編集可）'!$BO$17:$BO$116,0)),"")</f>
        <v/>
      </c>
      <c r="G176" s="278" t="str">
        <f t="array" ref="G176">IFERROR(INDEX('計測入力シート（ここのみ編集可）'!$BL$17:$BL$116,MATCH(A175&amp;B175,'計測入力シート（ここのみ編集可）'!$BO$17:$BO$116,0)),"")</f>
        <v/>
      </c>
      <c r="H176" s="279"/>
    </row>
    <row r="177" ht="27.0" customHeight="1">
      <c r="D177" s="280" t="s">
        <v>2</v>
      </c>
      <c r="E177" s="281" t="str">
        <f t="array" ref="E177">IFERROR(INDEX('計測入力シート（ここのみ編集可）'!$C$17:$C$116,MATCH(A175&amp;B175,'計測入力シート（ここのみ編集可）'!$BO$17:$BO$116,0)),"")</f>
        <v/>
      </c>
      <c r="F177" s="317" t="s">
        <v>17</v>
      </c>
      <c r="G177" s="283" t="str">
        <f t="array" ref="G177">IFERROR(INDEX('計測入力シート（ここのみ編集可）'!$D$17:$D$116,MATCH(A175&amp;B175,'計測入力シート（ここのみ編集可）'!$BO$17:$BO$116,0)),"")</f>
        <v/>
      </c>
      <c r="H177" s="284"/>
    </row>
    <row r="178" ht="27.0" customHeight="1">
      <c r="D178" s="285" t="s">
        <v>1</v>
      </c>
      <c r="E178" s="286" t="str">
        <f t="array" ref="E178">IFERROR(INDEX('計測入力シート（ここのみ編集可）'!$B$17:$B$116,MATCH(A175&amp;B175,'計測入力シート（ここのみ編集可）'!$BO$17:$BO$116,0)),"")</f>
        <v/>
      </c>
      <c r="F178" s="318" t="s">
        <v>18</v>
      </c>
      <c r="G178" s="288" t="str">
        <f t="array" ref="G178">IFERROR(INDEX('計測入力シート（ここのみ編集可）'!$E$17:$E$116,MATCH(A175&amp;B175,'計測入力シート（ここのみ編集可）'!$BO$17:$BO$116,0)),"")</f>
        <v/>
      </c>
      <c r="H178" s="289"/>
    </row>
    <row r="179" ht="24.75" customHeight="1">
      <c r="D179" s="290" t="s">
        <v>92</v>
      </c>
      <c r="E179" s="291" t="str">
        <f t="array" ref="E179">IFERROR(INDEX(#REF!,MATCH(A175&amp;B175,'計測入力シート（ここのみ編集可）'!$BO$17:$BO$116,0)),"")</f>
        <v/>
      </c>
      <c r="H179" s="232"/>
    </row>
    <row r="180" ht="52.5" customHeight="1">
      <c r="D180" s="292" t="s">
        <v>100</v>
      </c>
      <c r="E180" s="293" t="str">
        <f t="array" ref="E180">IFERROR(INDEX(#REF!,MATCH(A175&amp;B175,'計測入力シート（ここのみ編集可）'!$BO$17:$BO$116,0)),"")</f>
        <v/>
      </c>
      <c r="F180" s="95"/>
      <c r="G180" s="95"/>
      <c r="H180" s="96"/>
    </row>
    <row r="181" ht="20.25" customHeight="1">
      <c r="D181" s="294" t="s">
        <v>39</v>
      </c>
      <c r="E181" s="295" t="str">
        <f t="array" ref="E181">IFERROR(INDEX('計測入力シート（ここのみ編集可）'!$AW$17:$AW$116,MATCH(A175&amp;B175,'計測入力シート（ここのみ編集可）'!$BO$17:$BO$116,0)),"")</f>
        <v/>
      </c>
      <c r="F181" s="296"/>
      <c r="G181" s="297" t="s">
        <v>110</v>
      </c>
      <c r="H181" s="298" t="str">
        <f t="array" ref="H181">IFERROR(INDEX('計測入力シート（ここのみ編集可）'!$AY$17:$AY$116,MATCH(A175&amp;B175,'計測入力シート（ここのみ編集可）'!$BO$17:$BO$116,0)),"")</f>
        <v/>
      </c>
    </row>
    <row r="182" ht="20.25" customHeight="1">
      <c r="D182" s="299" t="s">
        <v>42</v>
      </c>
      <c r="E182" s="300" t="str">
        <f t="array" ref="E182">IFERROR(INDEX('計測入力シート（ここのみ編集可）'!$AZ$17:$AZ$116,MATCH(A175&amp;B175,'計測入力シート（ここのみ編集可）'!$BO$17:$BO$116,0)),"")</f>
        <v/>
      </c>
      <c r="F182" s="116"/>
      <c r="G182" s="301" t="s">
        <v>111</v>
      </c>
      <c r="H182" s="302" t="str">
        <f t="array" ref="H182">IFERROR(INDEX('計測入力シート（ここのみ編集可）'!$BB$17:$BB$116,MATCH(A175&amp;B175,'計測入力シート（ここのみ編集可）'!$BO$17:$BO$116,0)),"")</f>
        <v/>
      </c>
    </row>
    <row r="183" ht="20.25" customHeight="1">
      <c r="D183" s="303" t="s">
        <v>112</v>
      </c>
      <c r="E183" s="304" t="str">
        <f t="array" ref="E183">IFERROR(INDEX('計測入力シート（ここのみ編集可）'!$BC$17:$BC$116,MATCH(A175&amp;B175,'計測入力シート（ここのみ編集可）'!$BO$17:$BO$116,0)),"")</f>
        <v/>
      </c>
      <c r="F183" s="305"/>
      <c r="G183" s="306" t="s">
        <v>25</v>
      </c>
      <c r="H183" s="307" t="str">
        <f t="array" ref="H183">IFERROR(INDEX('計測入力シート（ここのみ編集可）'!$BD$17:$BD$116,MATCH(A175&amp;B175,'計測入力シート（ここのみ編集可）'!$BO$17:$BO$116,0)),"")</f>
        <v/>
      </c>
    </row>
    <row r="184" ht="20.25" customHeight="1">
      <c r="D184" s="308"/>
    </row>
    <row r="185" ht="27.0" customHeight="1">
      <c r="A185" s="52" t="str">
        <f>A175</f>
        <v>NL</v>
      </c>
      <c r="B185" s="52">
        <f>B175+1</f>
        <v>19</v>
      </c>
      <c r="D185" s="271" t="s">
        <v>80</v>
      </c>
      <c r="E185" s="272" t="s">
        <v>81</v>
      </c>
      <c r="F185" s="272" t="s">
        <v>82</v>
      </c>
      <c r="G185" s="273" t="s">
        <v>49</v>
      </c>
      <c r="H185" s="274"/>
    </row>
    <row r="186" ht="27.0" customHeight="1">
      <c r="A186" s="86"/>
      <c r="B186" s="86"/>
      <c r="D186" s="275" t="str">
        <f t="array" ref="D186">IFERROR(INDEX('計測入力シート（ここのみ編集可）'!$BN$17:$BN$116,MATCH(A185&amp;B185,'計測入力シート（ここのみ編集可）'!$BO$17:$BO$116,0)),"")</f>
        <v/>
      </c>
      <c r="E186" s="276" t="str">
        <f t="array" ref="E186">IFERROR(INDEX('計測入力シート（ここのみ編集可）'!$BP$17:$BP$116,MATCH(A185&amp;B185,'計測入力シート（ここのみ編集可）'!$BO$17:$BO$116,0)),"")</f>
        <v/>
      </c>
      <c r="F186" s="277" t="str">
        <f t="array" ref="F186">IFERROR(INDEX('計測入力シート（ここのみ編集可）'!$BR$17:$BR$116,MATCH(A185&amp;B185,'計測入力シート（ここのみ編集可）'!$BO$17:$BO$116,0)),"")</f>
        <v/>
      </c>
      <c r="G186" s="278" t="str">
        <f t="array" ref="G186">IFERROR(INDEX('計測入力シート（ここのみ編集可）'!$BL$17:$BL$116,MATCH(A185&amp;B185,'計測入力シート（ここのみ編集可）'!$BO$17:$BO$116,0)),"")</f>
        <v/>
      </c>
      <c r="H186" s="279"/>
    </row>
    <row r="187" ht="27.0" customHeight="1">
      <c r="D187" s="280" t="s">
        <v>2</v>
      </c>
      <c r="E187" s="281" t="str">
        <f t="array" ref="E187">IFERROR(INDEX('計測入力シート（ここのみ編集可）'!$C$17:$C$116,MATCH(A185&amp;B185,'計測入力シート（ここのみ編集可）'!$BO$17:$BO$116,0)),"")</f>
        <v/>
      </c>
      <c r="F187" s="317" t="s">
        <v>17</v>
      </c>
      <c r="G187" s="283" t="str">
        <f t="array" ref="G187">IFERROR(INDEX('計測入力シート（ここのみ編集可）'!$D$17:$D$116,MATCH(A185&amp;B185,'計測入力シート（ここのみ編集可）'!$BO$17:$BO$116,0)),"")</f>
        <v/>
      </c>
      <c r="H187" s="284"/>
    </row>
    <row r="188" ht="27.0" customHeight="1">
      <c r="D188" s="285" t="s">
        <v>1</v>
      </c>
      <c r="E188" s="286" t="str">
        <f t="array" ref="E188">IFERROR(INDEX('計測入力シート（ここのみ編集可）'!$B$17:$B$116,MATCH(A185&amp;B185,'計測入力シート（ここのみ編集可）'!$BO$17:$BO$116,0)),"")</f>
        <v/>
      </c>
      <c r="F188" s="318" t="s">
        <v>18</v>
      </c>
      <c r="G188" s="288" t="str">
        <f t="array" ref="G188">IFERROR(INDEX('計測入力シート（ここのみ編集可）'!$E$17:$E$116,MATCH(A185&amp;B185,'計測入力シート（ここのみ編集可）'!$BO$17:$BO$116,0)),"")</f>
        <v/>
      </c>
      <c r="H188" s="289"/>
    </row>
    <row r="189" ht="24.75" customHeight="1">
      <c r="D189" s="290" t="s">
        <v>92</v>
      </c>
      <c r="E189" s="291" t="str">
        <f t="array" ref="E189">IFERROR(INDEX(#REF!,MATCH(A185&amp;B185,'計測入力シート（ここのみ編集可）'!$BO$17:$BO$116,0)),"")</f>
        <v/>
      </c>
      <c r="H189" s="232"/>
    </row>
    <row r="190" ht="52.5" customHeight="1">
      <c r="D190" s="292" t="s">
        <v>100</v>
      </c>
      <c r="E190" s="293" t="str">
        <f t="array" ref="E190">IFERROR(INDEX(#REF!,MATCH(A185&amp;B185,'計測入力シート（ここのみ編集可）'!$BO$17:$BO$116,0)),"")</f>
        <v/>
      </c>
      <c r="F190" s="95"/>
      <c r="G190" s="95"/>
      <c r="H190" s="96"/>
    </row>
    <row r="191" ht="20.25" customHeight="1">
      <c r="D191" s="294" t="s">
        <v>39</v>
      </c>
      <c r="E191" s="295" t="str">
        <f t="array" ref="E191">IFERROR(INDEX('計測入力シート（ここのみ編集可）'!$AW$17:$AW$116,MATCH(A185&amp;B185,'計測入力シート（ここのみ編集可）'!$BO$17:$BO$116,0)),"")</f>
        <v/>
      </c>
      <c r="F191" s="296"/>
      <c r="G191" s="297" t="s">
        <v>110</v>
      </c>
      <c r="H191" s="298" t="str">
        <f t="array" ref="H191">IFERROR(INDEX('計測入力シート（ここのみ編集可）'!$AY$17:$AY$116,MATCH(A185&amp;B185,'計測入力シート（ここのみ編集可）'!$BO$17:$BO$116,0)),"")</f>
        <v/>
      </c>
    </row>
    <row r="192" ht="20.25" customHeight="1">
      <c r="D192" s="299" t="s">
        <v>42</v>
      </c>
      <c r="E192" s="300" t="str">
        <f t="array" ref="E192">IFERROR(INDEX('計測入力シート（ここのみ編集可）'!$AZ$17:$AZ$116,MATCH(A185&amp;B185,'計測入力シート（ここのみ編集可）'!$BO$17:$BO$116,0)),"")</f>
        <v/>
      </c>
      <c r="F192" s="116"/>
      <c r="G192" s="301" t="s">
        <v>111</v>
      </c>
      <c r="H192" s="302" t="str">
        <f t="array" ref="H192">IFERROR(INDEX('計測入力シート（ここのみ編集可）'!$BB$17:$BB$116,MATCH(A185&amp;B185,'計測入力シート（ここのみ編集可）'!$BO$17:$BO$116,0)),"")</f>
        <v/>
      </c>
    </row>
    <row r="193" ht="20.25" customHeight="1">
      <c r="D193" s="303" t="s">
        <v>112</v>
      </c>
      <c r="E193" s="304" t="str">
        <f t="array" ref="E193">IFERROR(INDEX('計測入力シート（ここのみ編集可）'!$BC$17:$BC$116,MATCH(A185&amp;B185,'計測入力シート（ここのみ編集可）'!$BO$17:$BO$116,0)),"")</f>
        <v/>
      </c>
      <c r="F193" s="305"/>
      <c r="G193" s="306" t="s">
        <v>25</v>
      </c>
      <c r="H193" s="307" t="str">
        <f t="array" ref="H193">IFERROR(INDEX('計測入力シート（ここのみ編集可）'!$BD$17:$BD$116,MATCH(A185&amp;B185,'計測入力シート（ここのみ編集可）'!$BO$17:$BO$116,0)),"")</f>
        <v/>
      </c>
    </row>
    <row r="194" ht="20.25" customHeight="1">
      <c r="D194" s="308"/>
    </row>
    <row r="195" ht="27.0" customHeight="1">
      <c r="A195" s="52" t="str">
        <f>A185</f>
        <v>NL</v>
      </c>
      <c r="B195" s="52">
        <f>B185+1</f>
        <v>20</v>
      </c>
      <c r="D195" s="271" t="s">
        <v>80</v>
      </c>
      <c r="E195" s="272" t="s">
        <v>81</v>
      </c>
      <c r="F195" s="272" t="s">
        <v>82</v>
      </c>
      <c r="G195" s="273" t="s">
        <v>49</v>
      </c>
      <c r="H195" s="274"/>
    </row>
    <row r="196" ht="27.0" customHeight="1">
      <c r="A196" s="86"/>
      <c r="B196" s="86"/>
      <c r="D196" s="275" t="str">
        <f t="array" ref="D196">IFERROR(INDEX('計測入力シート（ここのみ編集可）'!$BN$17:$BN$116,MATCH(A195&amp;B195,'計測入力シート（ここのみ編集可）'!$BO$17:$BO$116,0)),"")</f>
        <v/>
      </c>
      <c r="E196" s="276" t="str">
        <f t="array" ref="E196">IFERROR(INDEX('計測入力シート（ここのみ編集可）'!$BP$17:$BP$116,MATCH(A195&amp;B195,'計測入力シート（ここのみ編集可）'!$BO$17:$BO$116,0)),"")</f>
        <v/>
      </c>
      <c r="F196" s="277" t="str">
        <f t="array" ref="F196">IFERROR(INDEX('計測入力シート（ここのみ編集可）'!$BR$17:$BR$116,MATCH(A195&amp;B195,'計測入力シート（ここのみ編集可）'!$BO$17:$BO$116,0)),"")</f>
        <v/>
      </c>
      <c r="G196" s="278" t="str">
        <f t="array" ref="G196">IFERROR(INDEX('計測入力シート（ここのみ編集可）'!$BL$17:$BL$116,MATCH(A195&amp;B195,'計測入力シート（ここのみ編集可）'!$BO$17:$BO$116,0)),"")</f>
        <v/>
      </c>
      <c r="H196" s="279"/>
    </row>
    <row r="197" ht="27.0" customHeight="1">
      <c r="D197" s="280" t="s">
        <v>2</v>
      </c>
      <c r="E197" s="281" t="str">
        <f t="array" ref="E197">IFERROR(INDEX('計測入力シート（ここのみ編集可）'!$C$17:$C$116,MATCH(A195&amp;B195,'計測入力シート（ここのみ編集可）'!$BO$17:$BO$116,0)),"")</f>
        <v/>
      </c>
      <c r="F197" s="317" t="s">
        <v>17</v>
      </c>
      <c r="G197" s="283" t="str">
        <f t="array" ref="G197">IFERROR(INDEX('計測入力シート（ここのみ編集可）'!$D$17:$D$116,MATCH(A195&amp;B195,'計測入力シート（ここのみ編集可）'!$BO$17:$BO$116,0)),"")</f>
        <v/>
      </c>
      <c r="H197" s="284"/>
    </row>
    <row r="198" ht="27.0" customHeight="1">
      <c r="D198" s="285" t="s">
        <v>1</v>
      </c>
      <c r="E198" s="286" t="str">
        <f t="array" ref="E198">IFERROR(INDEX('計測入力シート（ここのみ編集可）'!$B$17:$B$116,MATCH(A195&amp;B195,'計測入力シート（ここのみ編集可）'!$BO$17:$BO$116,0)),"")</f>
        <v/>
      </c>
      <c r="F198" s="318" t="s">
        <v>18</v>
      </c>
      <c r="G198" s="288" t="str">
        <f t="array" ref="G198">IFERROR(INDEX('計測入力シート（ここのみ編集可）'!$E$17:$E$116,MATCH(A195&amp;B195,'計測入力シート（ここのみ編集可）'!$BO$17:$BO$116,0)),"")</f>
        <v/>
      </c>
      <c r="H198" s="289"/>
    </row>
    <row r="199" ht="24.75" customHeight="1">
      <c r="D199" s="290" t="s">
        <v>92</v>
      </c>
      <c r="E199" s="291" t="str">
        <f t="array" ref="E199">IFERROR(INDEX(#REF!,MATCH(A195&amp;B195,'計測入力シート（ここのみ編集可）'!$BO$17:$BO$116,0)),"")</f>
        <v/>
      </c>
      <c r="H199" s="232"/>
    </row>
    <row r="200" ht="52.5" customHeight="1">
      <c r="D200" s="292" t="s">
        <v>100</v>
      </c>
      <c r="E200" s="293" t="str">
        <f t="array" ref="E200">IFERROR(INDEX(#REF!,MATCH(A195&amp;B195,'計測入力シート（ここのみ編集可）'!$BO$17:$BO$116,0)),"")</f>
        <v/>
      </c>
      <c r="F200" s="95"/>
      <c r="G200" s="95"/>
      <c r="H200" s="96"/>
    </row>
    <row r="201" ht="20.25" customHeight="1">
      <c r="D201" s="294" t="s">
        <v>39</v>
      </c>
      <c r="E201" s="295" t="str">
        <f t="array" ref="E201">IFERROR(INDEX('計測入力シート（ここのみ編集可）'!$AW$17:$AW$116,MATCH(A195&amp;B195,'計測入力シート（ここのみ編集可）'!$BO$17:$BO$116,0)),"")</f>
        <v/>
      </c>
      <c r="F201" s="296"/>
      <c r="G201" s="297" t="s">
        <v>110</v>
      </c>
      <c r="H201" s="298" t="str">
        <f t="array" ref="H201">IFERROR(INDEX('計測入力シート（ここのみ編集可）'!$AY$17:$AY$116,MATCH(A195&amp;B195,'計測入力シート（ここのみ編集可）'!$BO$17:$BO$116,0)),"")</f>
        <v/>
      </c>
    </row>
    <row r="202" ht="20.25" customHeight="1">
      <c r="D202" s="299" t="s">
        <v>42</v>
      </c>
      <c r="E202" s="300" t="str">
        <f t="array" ref="E202">IFERROR(INDEX('計測入力シート（ここのみ編集可）'!$AZ$17:$AZ$116,MATCH(A195&amp;B195,'計測入力シート（ここのみ編集可）'!$BO$17:$BO$116,0)),"")</f>
        <v/>
      </c>
      <c r="F202" s="116"/>
      <c r="G202" s="301" t="s">
        <v>111</v>
      </c>
      <c r="H202" s="302" t="str">
        <f t="array" ref="H202">IFERROR(INDEX('計測入力シート（ここのみ編集可）'!$BB$17:$BB$116,MATCH(A195&amp;B195,'計測入力シート（ここのみ編集可）'!$BO$17:$BO$116,0)),"")</f>
        <v/>
      </c>
    </row>
    <row r="203" ht="20.25" customHeight="1">
      <c r="D203" s="303" t="s">
        <v>112</v>
      </c>
      <c r="E203" s="304" t="str">
        <f t="array" ref="E203">IFERROR(INDEX('計測入力シート（ここのみ編集可）'!$BC$17:$BC$116,MATCH(A195&amp;B195,'計測入力シート（ここのみ編集可）'!$BO$17:$BO$116,0)),"")</f>
        <v/>
      </c>
      <c r="F203" s="305"/>
      <c r="G203" s="306" t="s">
        <v>25</v>
      </c>
      <c r="H203" s="307" t="str">
        <f t="array" ref="H203">IFERROR(INDEX('計測入力シート（ここのみ編集可）'!$BD$17:$BD$116,MATCH(A195&amp;B195,'計測入力シート（ここのみ編集可）'!$BO$17:$BO$116,0)),"")</f>
        <v/>
      </c>
    </row>
    <row r="204" ht="20.25" customHeight="1">
      <c r="D204" s="308"/>
    </row>
    <row r="205" ht="27.0" customHeight="1">
      <c r="A205" s="52" t="str">
        <f>A195</f>
        <v>NL</v>
      </c>
      <c r="B205" s="52">
        <f>B195+1</f>
        <v>21</v>
      </c>
      <c r="D205" s="271" t="s">
        <v>80</v>
      </c>
      <c r="E205" s="272" t="s">
        <v>81</v>
      </c>
      <c r="F205" s="272" t="s">
        <v>82</v>
      </c>
      <c r="G205" s="273" t="s">
        <v>49</v>
      </c>
      <c r="H205" s="274"/>
    </row>
    <row r="206" ht="27.0" customHeight="1">
      <c r="A206" s="86"/>
      <c r="B206" s="86"/>
      <c r="D206" s="275" t="str">
        <f t="array" ref="D206">IFERROR(INDEX('計測入力シート（ここのみ編集可）'!$BN$17:$BN$116,MATCH(A205&amp;B205,'計測入力シート（ここのみ編集可）'!$BO$17:$BO$116,0)),"")</f>
        <v/>
      </c>
      <c r="E206" s="276" t="str">
        <f t="array" ref="E206">IFERROR(INDEX('計測入力シート（ここのみ編集可）'!$BP$17:$BP$116,MATCH(A205&amp;B205,'計測入力シート（ここのみ編集可）'!$BO$17:$BO$116,0)),"")</f>
        <v/>
      </c>
      <c r="F206" s="277" t="str">
        <f t="array" ref="F206">IFERROR(INDEX('計測入力シート（ここのみ編集可）'!$BR$17:$BR$116,MATCH(A205&amp;B205,'計測入力シート（ここのみ編集可）'!$BO$17:$BO$116,0)),"")</f>
        <v/>
      </c>
      <c r="G206" s="278" t="str">
        <f t="array" ref="G206">IFERROR(INDEX('計測入力シート（ここのみ編集可）'!$BL$17:$BL$116,MATCH(A205&amp;B205,'計測入力シート（ここのみ編集可）'!$BO$17:$BO$116,0)),"")</f>
        <v/>
      </c>
      <c r="H206" s="279"/>
    </row>
    <row r="207" ht="27.0" customHeight="1">
      <c r="D207" s="280" t="s">
        <v>2</v>
      </c>
      <c r="E207" s="281" t="str">
        <f t="array" ref="E207">IFERROR(INDEX('計測入力シート（ここのみ編集可）'!$C$17:$C$116,MATCH(A205&amp;B205,'計測入力シート（ここのみ編集可）'!$BO$17:$BO$116,0)),"")</f>
        <v/>
      </c>
      <c r="F207" s="317" t="s">
        <v>17</v>
      </c>
      <c r="G207" s="283" t="str">
        <f t="array" ref="G207">IFERROR(INDEX('計測入力シート（ここのみ編集可）'!$D$17:$D$116,MATCH(A205&amp;B205,'計測入力シート（ここのみ編集可）'!$BO$17:$BO$116,0)),"")</f>
        <v/>
      </c>
      <c r="H207" s="284"/>
    </row>
    <row r="208" ht="27.0" customHeight="1">
      <c r="D208" s="285" t="s">
        <v>1</v>
      </c>
      <c r="E208" s="286" t="str">
        <f t="array" ref="E208">IFERROR(INDEX('計測入力シート（ここのみ編集可）'!$B$17:$B$116,MATCH(A205&amp;B205,'計測入力シート（ここのみ編集可）'!$BO$17:$BO$116,0)),"")</f>
        <v/>
      </c>
      <c r="F208" s="318" t="s">
        <v>18</v>
      </c>
      <c r="G208" s="288" t="str">
        <f t="array" ref="G208">IFERROR(INDEX('計測入力シート（ここのみ編集可）'!$E$17:$E$116,MATCH(A205&amp;B205,'計測入力シート（ここのみ編集可）'!$BO$17:$BO$116,0)),"")</f>
        <v/>
      </c>
      <c r="H208" s="289"/>
    </row>
    <row r="209" ht="24.75" customHeight="1">
      <c r="D209" s="290" t="s">
        <v>92</v>
      </c>
      <c r="E209" s="291" t="str">
        <f t="array" ref="E209">IFERROR(INDEX(#REF!,MATCH(A205&amp;B205,'計測入力シート（ここのみ編集可）'!$BO$17:$BO$116,0)),"")</f>
        <v/>
      </c>
      <c r="H209" s="232"/>
    </row>
    <row r="210" ht="52.5" customHeight="1">
      <c r="D210" s="292" t="s">
        <v>100</v>
      </c>
      <c r="E210" s="293" t="str">
        <f t="array" ref="E210">IFERROR(INDEX(#REF!,MATCH(A205&amp;B205,'計測入力シート（ここのみ編集可）'!$BO$17:$BO$116,0)),"")</f>
        <v/>
      </c>
      <c r="F210" s="95"/>
      <c r="G210" s="95"/>
      <c r="H210" s="96"/>
    </row>
    <row r="211" ht="20.25" customHeight="1">
      <c r="D211" s="294" t="s">
        <v>39</v>
      </c>
      <c r="E211" s="295" t="str">
        <f t="array" ref="E211">IFERROR(INDEX('計測入力シート（ここのみ編集可）'!$AW$17:$AW$116,MATCH(A205&amp;B205,'計測入力シート（ここのみ編集可）'!$BO$17:$BO$116,0)),"")</f>
        <v/>
      </c>
      <c r="F211" s="296"/>
      <c r="G211" s="297" t="s">
        <v>110</v>
      </c>
      <c r="H211" s="298" t="str">
        <f t="array" ref="H211">IFERROR(INDEX('計測入力シート（ここのみ編集可）'!$AY$17:$AY$116,MATCH(A205&amp;B205,'計測入力シート（ここのみ編集可）'!$BO$17:$BO$116,0)),"")</f>
        <v/>
      </c>
    </row>
    <row r="212" ht="20.25" customHeight="1">
      <c r="D212" s="299" t="s">
        <v>42</v>
      </c>
      <c r="E212" s="300" t="str">
        <f t="array" ref="E212">IFERROR(INDEX('計測入力シート（ここのみ編集可）'!$AZ$17:$AZ$116,MATCH(A205&amp;B205,'計測入力シート（ここのみ編集可）'!$BO$17:$BO$116,0)),"")</f>
        <v/>
      </c>
      <c r="F212" s="116"/>
      <c r="G212" s="301" t="s">
        <v>111</v>
      </c>
      <c r="H212" s="302" t="str">
        <f t="array" ref="H212">IFERROR(INDEX('計測入力シート（ここのみ編集可）'!$BB$17:$BB$116,MATCH(A205&amp;B205,'計測入力シート（ここのみ編集可）'!$BO$17:$BO$116,0)),"")</f>
        <v/>
      </c>
    </row>
    <row r="213" ht="20.25" customHeight="1">
      <c r="D213" s="303" t="s">
        <v>112</v>
      </c>
      <c r="E213" s="304" t="str">
        <f t="array" ref="E213">IFERROR(INDEX('計測入力シート（ここのみ編集可）'!$BC$17:$BC$116,MATCH(A205&amp;B205,'計測入力シート（ここのみ編集可）'!$BO$17:$BO$116,0)),"")</f>
        <v/>
      </c>
      <c r="F213" s="305"/>
      <c r="G213" s="306" t="s">
        <v>25</v>
      </c>
      <c r="H213" s="307" t="str">
        <f t="array" ref="H213">IFERROR(INDEX('計測入力シート（ここのみ編集可）'!$BD$17:$BD$116,MATCH(A205&amp;B205,'計測入力シート（ここのみ編集可）'!$BO$17:$BO$116,0)),"")</f>
        <v/>
      </c>
    </row>
    <row r="214" ht="20.25" customHeight="1">
      <c r="D214" s="308"/>
    </row>
    <row r="215" ht="27.0" customHeight="1">
      <c r="A215" s="52" t="str">
        <f>A205</f>
        <v>NL</v>
      </c>
      <c r="B215" s="52">
        <f>B205+1</f>
        <v>22</v>
      </c>
      <c r="D215" s="271" t="s">
        <v>80</v>
      </c>
      <c r="E215" s="272" t="s">
        <v>81</v>
      </c>
      <c r="F215" s="272" t="s">
        <v>82</v>
      </c>
      <c r="G215" s="273" t="s">
        <v>49</v>
      </c>
      <c r="H215" s="274"/>
    </row>
    <row r="216" ht="27.0" customHeight="1">
      <c r="A216" s="86"/>
      <c r="B216" s="86"/>
      <c r="D216" s="275" t="str">
        <f t="array" ref="D216">IFERROR(INDEX('計測入力シート（ここのみ編集可）'!$BN$17:$BN$116,MATCH(A215&amp;B215,'計測入力シート（ここのみ編集可）'!$BO$17:$BO$116,0)),"")</f>
        <v/>
      </c>
      <c r="E216" s="276" t="str">
        <f t="array" ref="E216">IFERROR(INDEX('計測入力シート（ここのみ編集可）'!$BP$17:$BP$116,MATCH(A215&amp;B215,'計測入力シート（ここのみ編集可）'!$BO$17:$BO$116,0)),"")</f>
        <v/>
      </c>
      <c r="F216" s="277" t="str">
        <f t="array" ref="F216">IFERROR(INDEX('計測入力シート（ここのみ編集可）'!$BR$17:$BR$116,MATCH(A215&amp;B215,'計測入力シート（ここのみ編集可）'!$BO$17:$BO$116,0)),"")</f>
        <v/>
      </c>
      <c r="G216" s="278" t="str">
        <f t="array" ref="G216">IFERROR(INDEX('計測入力シート（ここのみ編集可）'!$BL$17:$BL$116,MATCH(A215&amp;B215,'計測入力シート（ここのみ編集可）'!$BO$17:$BO$116,0)),"")</f>
        <v/>
      </c>
      <c r="H216" s="279"/>
    </row>
    <row r="217" ht="27.0" customHeight="1">
      <c r="D217" s="280" t="s">
        <v>2</v>
      </c>
      <c r="E217" s="281" t="str">
        <f t="array" ref="E217">IFERROR(INDEX('計測入力シート（ここのみ編集可）'!$C$17:$C$116,MATCH(A215&amp;B215,'計測入力シート（ここのみ編集可）'!$BO$17:$BO$116,0)),"")</f>
        <v/>
      </c>
      <c r="F217" s="317" t="s">
        <v>17</v>
      </c>
      <c r="G217" s="283" t="str">
        <f t="array" ref="G217">IFERROR(INDEX('計測入力シート（ここのみ編集可）'!$D$17:$D$116,MATCH(A215&amp;B215,'計測入力シート（ここのみ編集可）'!$BO$17:$BO$116,0)),"")</f>
        <v/>
      </c>
      <c r="H217" s="284"/>
    </row>
    <row r="218" ht="27.0" customHeight="1">
      <c r="D218" s="285" t="s">
        <v>1</v>
      </c>
      <c r="E218" s="286" t="str">
        <f t="array" ref="E218">IFERROR(INDEX('計測入力シート（ここのみ編集可）'!$B$17:$B$116,MATCH(A215&amp;B215,'計測入力シート（ここのみ編集可）'!$BO$17:$BO$116,0)),"")</f>
        <v/>
      </c>
      <c r="F218" s="318" t="s">
        <v>18</v>
      </c>
      <c r="G218" s="288" t="str">
        <f t="array" ref="G218">IFERROR(INDEX('計測入力シート（ここのみ編集可）'!$E$17:$E$116,MATCH(A215&amp;B215,'計測入力シート（ここのみ編集可）'!$BO$17:$BO$116,0)),"")</f>
        <v/>
      </c>
      <c r="H218" s="289"/>
    </row>
    <row r="219" ht="24.75" customHeight="1">
      <c r="D219" s="290" t="s">
        <v>92</v>
      </c>
      <c r="E219" s="291" t="str">
        <f t="array" ref="E219">IFERROR(INDEX(#REF!,MATCH(A215&amp;B215,'計測入力シート（ここのみ編集可）'!$BO$17:$BO$116,0)),"")</f>
        <v/>
      </c>
      <c r="H219" s="232"/>
    </row>
    <row r="220" ht="52.5" customHeight="1">
      <c r="D220" s="292" t="s">
        <v>100</v>
      </c>
      <c r="E220" s="293" t="str">
        <f t="array" ref="E220">IFERROR(INDEX(#REF!,MATCH(A215&amp;B215,'計測入力シート（ここのみ編集可）'!$BO$17:$BO$116,0)),"")</f>
        <v/>
      </c>
      <c r="F220" s="95"/>
      <c r="G220" s="95"/>
      <c r="H220" s="96"/>
    </row>
    <row r="221" ht="20.25" customHeight="1">
      <c r="D221" s="294" t="s">
        <v>39</v>
      </c>
      <c r="E221" s="295" t="str">
        <f t="array" ref="E221">IFERROR(INDEX('計測入力シート（ここのみ編集可）'!$AW$17:$AW$116,MATCH(A215&amp;B215,'計測入力シート（ここのみ編集可）'!$BO$17:$BO$116,0)),"")</f>
        <v/>
      </c>
      <c r="F221" s="296"/>
      <c r="G221" s="297" t="s">
        <v>110</v>
      </c>
      <c r="H221" s="298" t="str">
        <f t="array" ref="H221">IFERROR(INDEX('計測入力シート（ここのみ編集可）'!$AY$17:$AY$116,MATCH(A215&amp;B215,'計測入力シート（ここのみ編集可）'!$BO$17:$BO$116,0)),"")</f>
        <v/>
      </c>
    </row>
    <row r="222" ht="20.25" customHeight="1">
      <c r="D222" s="299" t="s">
        <v>42</v>
      </c>
      <c r="E222" s="300" t="str">
        <f t="array" ref="E222">IFERROR(INDEX('計測入力シート（ここのみ編集可）'!$AZ$17:$AZ$116,MATCH(A215&amp;B215,'計測入力シート（ここのみ編集可）'!$BO$17:$BO$116,0)),"")</f>
        <v/>
      </c>
      <c r="F222" s="116"/>
      <c r="G222" s="301" t="s">
        <v>111</v>
      </c>
      <c r="H222" s="302" t="str">
        <f t="array" ref="H222">IFERROR(INDEX('計測入力シート（ここのみ編集可）'!$BB$17:$BB$116,MATCH(A215&amp;B215,'計測入力シート（ここのみ編集可）'!$BO$17:$BO$116,0)),"")</f>
        <v/>
      </c>
    </row>
    <row r="223" ht="20.25" customHeight="1">
      <c r="D223" s="303" t="s">
        <v>112</v>
      </c>
      <c r="E223" s="304" t="str">
        <f t="array" ref="E223">IFERROR(INDEX('計測入力シート（ここのみ編集可）'!$BC$17:$BC$116,MATCH(A215&amp;B215,'計測入力シート（ここのみ編集可）'!$BO$17:$BO$116,0)),"")</f>
        <v/>
      </c>
      <c r="F223" s="305"/>
      <c r="G223" s="306" t="s">
        <v>25</v>
      </c>
      <c r="H223" s="307" t="str">
        <f t="array" ref="H223">IFERROR(INDEX('計測入力シート（ここのみ編集可）'!$BD$17:$BD$116,MATCH(A215&amp;B215,'計測入力シート（ここのみ編集可）'!$BO$17:$BO$116,0)),"")</f>
        <v/>
      </c>
    </row>
    <row r="224" ht="20.25" customHeight="1">
      <c r="D224" s="308"/>
    </row>
    <row r="225" ht="27.0" customHeight="1">
      <c r="A225" s="52" t="str">
        <f>A215</f>
        <v>NL</v>
      </c>
      <c r="B225" s="52">
        <f>B215+1</f>
        <v>23</v>
      </c>
      <c r="D225" s="271" t="s">
        <v>80</v>
      </c>
      <c r="E225" s="272" t="s">
        <v>81</v>
      </c>
      <c r="F225" s="272" t="s">
        <v>82</v>
      </c>
      <c r="G225" s="273" t="s">
        <v>49</v>
      </c>
      <c r="H225" s="274"/>
    </row>
    <row r="226" ht="27.0" customHeight="1">
      <c r="A226" s="86"/>
      <c r="B226" s="86"/>
      <c r="D226" s="275" t="str">
        <f t="array" ref="D226">IFERROR(INDEX('計測入力シート（ここのみ編集可）'!$BN$17:$BN$116,MATCH(A225&amp;B225,'計測入力シート（ここのみ編集可）'!$BO$17:$BO$116,0)),"")</f>
        <v/>
      </c>
      <c r="E226" s="276" t="str">
        <f t="array" ref="E226">IFERROR(INDEX('計測入力シート（ここのみ編集可）'!$BP$17:$BP$116,MATCH(A225&amp;B225,'計測入力シート（ここのみ編集可）'!$BO$17:$BO$116,0)),"")</f>
        <v/>
      </c>
      <c r="F226" s="277" t="str">
        <f t="array" ref="F226">IFERROR(INDEX('計測入力シート（ここのみ編集可）'!$BR$17:$BR$116,MATCH(A225&amp;B225,'計測入力シート（ここのみ編集可）'!$BO$17:$BO$116,0)),"")</f>
        <v/>
      </c>
      <c r="G226" s="278" t="str">
        <f t="array" ref="G226">IFERROR(INDEX('計測入力シート（ここのみ編集可）'!$BL$17:$BL$116,MATCH(A225&amp;B225,'計測入力シート（ここのみ編集可）'!$BO$17:$BO$116,0)),"")</f>
        <v/>
      </c>
      <c r="H226" s="279"/>
    </row>
    <row r="227" ht="27.0" customHeight="1">
      <c r="D227" s="280" t="s">
        <v>2</v>
      </c>
      <c r="E227" s="281" t="str">
        <f t="array" ref="E227">IFERROR(INDEX('計測入力シート（ここのみ編集可）'!$C$17:$C$116,MATCH(A225&amp;B225,'計測入力シート（ここのみ編集可）'!$BO$17:$BO$116,0)),"")</f>
        <v/>
      </c>
      <c r="F227" s="317" t="s">
        <v>17</v>
      </c>
      <c r="G227" s="283" t="str">
        <f t="array" ref="G227">IFERROR(INDEX('計測入力シート（ここのみ編集可）'!$D$17:$D$116,MATCH(A225&amp;B225,'計測入力シート（ここのみ編集可）'!$BO$17:$BO$116,0)),"")</f>
        <v/>
      </c>
      <c r="H227" s="284"/>
    </row>
    <row r="228" ht="27.0" customHeight="1">
      <c r="D228" s="285" t="s">
        <v>1</v>
      </c>
      <c r="E228" s="286" t="str">
        <f t="array" ref="E228">IFERROR(INDEX('計測入力シート（ここのみ編集可）'!$B$17:$B$116,MATCH(A225&amp;B225,'計測入力シート（ここのみ編集可）'!$BO$17:$BO$116,0)),"")</f>
        <v/>
      </c>
      <c r="F228" s="318" t="s">
        <v>18</v>
      </c>
      <c r="G228" s="288" t="str">
        <f t="array" ref="G228">IFERROR(INDEX('計測入力シート（ここのみ編集可）'!$E$17:$E$116,MATCH(A225&amp;B225,'計測入力シート（ここのみ編集可）'!$BO$17:$BO$116,0)),"")</f>
        <v/>
      </c>
      <c r="H228" s="289"/>
    </row>
    <row r="229" ht="24.75" customHeight="1">
      <c r="D229" s="290" t="s">
        <v>92</v>
      </c>
      <c r="E229" s="291" t="str">
        <f t="array" ref="E229">IFERROR(INDEX(#REF!,MATCH(A225&amp;B225,'計測入力シート（ここのみ編集可）'!$BO$17:$BO$116,0)),"")</f>
        <v/>
      </c>
      <c r="H229" s="232"/>
    </row>
    <row r="230" ht="52.5" customHeight="1">
      <c r="D230" s="292" t="s">
        <v>100</v>
      </c>
      <c r="E230" s="293" t="str">
        <f t="array" ref="E230">IFERROR(INDEX(#REF!,MATCH(A225&amp;B225,'計測入力シート（ここのみ編集可）'!$BO$17:$BO$116,0)),"")</f>
        <v/>
      </c>
      <c r="F230" s="95"/>
      <c r="G230" s="95"/>
      <c r="H230" s="96"/>
    </row>
    <row r="231" ht="20.25" customHeight="1">
      <c r="D231" s="294" t="s">
        <v>39</v>
      </c>
      <c r="E231" s="295" t="str">
        <f t="array" ref="E231">IFERROR(INDEX('計測入力シート（ここのみ編集可）'!$AW$17:$AW$116,MATCH(A225&amp;B225,'計測入力シート（ここのみ編集可）'!$BO$17:$BO$116,0)),"")</f>
        <v/>
      </c>
      <c r="F231" s="296"/>
      <c r="G231" s="297" t="s">
        <v>110</v>
      </c>
      <c r="H231" s="298" t="str">
        <f t="array" ref="H231">IFERROR(INDEX('計測入力シート（ここのみ編集可）'!$AY$17:$AY$116,MATCH(A225&amp;B225,'計測入力シート（ここのみ編集可）'!$BO$17:$BO$116,0)),"")</f>
        <v/>
      </c>
    </row>
    <row r="232" ht="20.25" customHeight="1">
      <c r="D232" s="299" t="s">
        <v>42</v>
      </c>
      <c r="E232" s="300" t="str">
        <f t="array" ref="E232">IFERROR(INDEX('計測入力シート（ここのみ編集可）'!$AZ$17:$AZ$116,MATCH(A225&amp;B225,'計測入力シート（ここのみ編集可）'!$BO$17:$BO$116,0)),"")</f>
        <v/>
      </c>
      <c r="F232" s="116"/>
      <c r="G232" s="301" t="s">
        <v>111</v>
      </c>
      <c r="H232" s="302" t="str">
        <f t="array" ref="H232">IFERROR(INDEX('計測入力シート（ここのみ編集可）'!$BB$17:$BB$116,MATCH(A225&amp;B225,'計測入力シート（ここのみ編集可）'!$BO$17:$BO$116,0)),"")</f>
        <v/>
      </c>
    </row>
    <row r="233" ht="20.25" customHeight="1">
      <c r="D233" s="303" t="s">
        <v>112</v>
      </c>
      <c r="E233" s="304" t="str">
        <f t="array" ref="E233">IFERROR(INDEX('計測入力シート（ここのみ編集可）'!$BC$17:$BC$116,MATCH(A225&amp;B225,'計測入力シート（ここのみ編集可）'!$BO$17:$BO$116,0)),"")</f>
        <v/>
      </c>
      <c r="F233" s="305"/>
      <c r="G233" s="306" t="s">
        <v>25</v>
      </c>
      <c r="H233" s="307" t="str">
        <f t="array" ref="H233">IFERROR(INDEX('計測入力シート（ここのみ編集可）'!$BD$17:$BD$116,MATCH(A225&amp;B225,'計測入力シート（ここのみ編集可）'!$BO$17:$BO$116,0)),"")</f>
        <v/>
      </c>
    </row>
    <row r="234" ht="20.25" customHeight="1">
      <c r="D234" s="308"/>
    </row>
    <row r="235" ht="27.0" customHeight="1">
      <c r="A235" s="52" t="str">
        <f>A225</f>
        <v>NL</v>
      </c>
      <c r="B235" s="52">
        <f>B225+1</f>
        <v>24</v>
      </c>
      <c r="D235" s="271" t="s">
        <v>80</v>
      </c>
      <c r="E235" s="272" t="s">
        <v>81</v>
      </c>
      <c r="F235" s="272" t="s">
        <v>82</v>
      </c>
      <c r="G235" s="273" t="s">
        <v>49</v>
      </c>
      <c r="H235" s="274"/>
    </row>
    <row r="236" ht="27.0" customHeight="1">
      <c r="A236" s="86"/>
      <c r="B236" s="86"/>
      <c r="D236" s="275" t="str">
        <f t="array" ref="D236">IFERROR(INDEX('計測入力シート（ここのみ編集可）'!$BN$17:$BN$116,MATCH(A235&amp;B235,'計測入力シート（ここのみ編集可）'!$BO$17:$BO$116,0)),"")</f>
        <v/>
      </c>
      <c r="E236" s="276" t="str">
        <f t="array" ref="E236">IFERROR(INDEX('計測入力シート（ここのみ編集可）'!$BP$17:$BP$116,MATCH(A235&amp;B235,'計測入力シート（ここのみ編集可）'!$BO$17:$BO$116,0)),"")</f>
        <v/>
      </c>
      <c r="F236" s="277" t="str">
        <f t="array" ref="F236">IFERROR(INDEX('計測入力シート（ここのみ編集可）'!$BR$17:$BR$116,MATCH(A235&amp;B235,'計測入力シート（ここのみ編集可）'!$BO$17:$BO$116,0)),"")</f>
        <v/>
      </c>
      <c r="G236" s="278" t="str">
        <f t="array" ref="G236">IFERROR(INDEX('計測入力シート（ここのみ編集可）'!$BL$17:$BL$116,MATCH(A235&amp;B235,'計測入力シート（ここのみ編集可）'!$BO$17:$BO$116,0)),"")</f>
        <v/>
      </c>
      <c r="H236" s="279"/>
    </row>
    <row r="237" ht="27.0" customHeight="1">
      <c r="D237" s="280" t="s">
        <v>2</v>
      </c>
      <c r="E237" s="281" t="str">
        <f t="array" ref="E237">IFERROR(INDEX('計測入力シート（ここのみ編集可）'!$C$17:$C$116,MATCH(A235&amp;B235,'計測入力シート（ここのみ編集可）'!$BO$17:$BO$116,0)),"")</f>
        <v/>
      </c>
      <c r="F237" s="317" t="s">
        <v>17</v>
      </c>
      <c r="G237" s="283" t="str">
        <f t="array" ref="G237">IFERROR(INDEX('計測入力シート（ここのみ編集可）'!$D$17:$D$116,MATCH(A235&amp;B235,'計測入力シート（ここのみ編集可）'!$BO$17:$BO$116,0)),"")</f>
        <v/>
      </c>
      <c r="H237" s="284"/>
    </row>
    <row r="238" ht="27.0" customHeight="1">
      <c r="D238" s="285" t="s">
        <v>1</v>
      </c>
      <c r="E238" s="286" t="str">
        <f t="array" ref="E238">IFERROR(INDEX('計測入力シート（ここのみ編集可）'!$B$17:$B$116,MATCH(A235&amp;B235,'計測入力シート（ここのみ編集可）'!$BO$17:$BO$116,0)),"")</f>
        <v/>
      </c>
      <c r="F238" s="318" t="s">
        <v>18</v>
      </c>
      <c r="G238" s="288" t="str">
        <f t="array" ref="G238">IFERROR(INDEX('計測入力シート（ここのみ編集可）'!$E$17:$E$116,MATCH(A235&amp;B235,'計測入力シート（ここのみ編集可）'!$BO$17:$BO$116,0)),"")</f>
        <v/>
      </c>
      <c r="H238" s="289"/>
    </row>
    <row r="239" ht="24.75" customHeight="1">
      <c r="D239" s="290" t="s">
        <v>92</v>
      </c>
      <c r="E239" s="291" t="str">
        <f t="array" ref="E239">IFERROR(INDEX(#REF!,MATCH(A235&amp;B235,'計測入力シート（ここのみ編集可）'!$BO$17:$BO$116,0)),"")</f>
        <v/>
      </c>
      <c r="H239" s="232"/>
    </row>
    <row r="240" ht="52.5" customHeight="1">
      <c r="D240" s="292" t="s">
        <v>100</v>
      </c>
      <c r="E240" s="293" t="str">
        <f t="array" ref="E240">IFERROR(INDEX(#REF!,MATCH(A235&amp;B235,'計測入力シート（ここのみ編集可）'!$BO$17:$BO$116,0)),"")</f>
        <v/>
      </c>
      <c r="F240" s="95"/>
      <c r="G240" s="95"/>
      <c r="H240" s="96"/>
    </row>
    <row r="241" ht="20.25" customHeight="1">
      <c r="D241" s="294" t="s">
        <v>39</v>
      </c>
      <c r="E241" s="295" t="str">
        <f t="array" ref="E241">IFERROR(INDEX('計測入力シート（ここのみ編集可）'!$AW$17:$AW$116,MATCH(A235&amp;B235,'計測入力シート（ここのみ編集可）'!$BO$17:$BO$116,0)),"")</f>
        <v/>
      </c>
      <c r="F241" s="296"/>
      <c r="G241" s="297" t="s">
        <v>110</v>
      </c>
      <c r="H241" s="298" t="str">
        <f t="array" ref="H241">IFERROR(INDEX('計測入力シート（ここのみ編集可）'!$AY$17:$AY$116,MATCH(A235&amp;B235,'計測入力シート（ここのみ編集可）'!$BO$17:$BO$116,0)),"")</f>
        <v/>
      </c>
    </row>
    <row r="242" ht="20.25" customHeight="1">
      <c r="D242" s="299" t="s">
        <v>42</v>
      </c>
      <c r="E242" s="300" t="str">
        <f t="array" ref="E242">IFERROR(INDEX('計測入力シート（ここのみ編集可）'!$AZ$17:$AZ$116,MATCH(A235&amp;B235,'計測入力シート（ここのみ編集可）'!$BO$17:$BO$116,0)),"")</f>
        <v/>
      </c>
      <c r="F242" s="116"/>
      <c r="G242" s="301" t="s">
        <v>111</v>
      </c>
      <c r="H242" s="302" t="str">
        <f t="array" ref="H242">IFERROR(INDEX('計測入力シート（ここのみ編集可）'!$BB$17:$BB$116,MATCH(A235&amp;B235,'計測入力シート（ここのみ編集可）'!$BO$17:$BO$116,0)),"")</f>
        <v/>
      </c>
    </row>
    <row r="243" ht="20.25" customHeight="1">
      <c r="D243" s="303" t="s">
        <v>112</v>
      </c>
      <c r="E243" s="304" t="str">
        <f t="array" ref="E243">IFERROR(INDEX('計測入力シート（ここのみ編集可）'!$BC$17:$BC$116,MATCH(A235&amp;B235,'計測入力シート（ここのみ編集可）'!$BO$17:$BO$116,0)),"")</f>
        <v/>
      </c>
      <c r="F243" s="305"/>
      <c r="G243" s="306" t="s">
        <v>25</v>
      </c>
      <c r="H243" s="307" t="str">
        <f t="array" ref="H243">IFERROR(INDEX('計測入力シート（ここのみ編集可）'!$BD$17:$BD$116,MATCH(A235&amp;B235,'計測入力シート（ここのみ編集可）'!$BO$17:$BO$116,0)),"")</f>
        <v/>
      </c>
    </row>
    <row r="244" ht="20.25" customHeight="1">
      <c r="D244" s="308"/>
    </row>
    <row r="245" ht="27.0" customHeight="1">
      <c r="A245" s="52" t="str">
        <f>A235</f>
        <v>NL</v>
      </c>
      <c r="B245" s="52">
        <f>B235+1</f>
        <v>25</v>
      </c>
      <c r="D245" s="271" t="s">
        <v>80</v>
      </c>
      <c r="E245" s="272" t="s">
        <v>81</v>
      </c>
      <c r="F245" s="272" t="s">
        <v>82</v>
      </c>
      <c r="G245" s="273" t="s">
        <v>49</v>
      </c>
      <c r="H245" s="274"/>
    </row>
    <row r="246" ht="27.0" customHeight="1">
      <c r="A246" s="86"/>
      <c r="B246" s="86"/>
      <c r="D246" s="275" t="str">
        <f t="array" ref="D246">IFERROR(INDEX('計測入力シート（ここのみ編集可）'!$BN$17:$BN$116,MATCH(A245&amp;B245,'計測入力シート（ここのみ編集可）'!$BO$17:$BO$116,0)),"")</f>
        <v/>
      </c>
      <c r="E246" s="276" t="str">
        <f t="array" ref="E246">IFERROR(INDEX('計測入力シート（ここのみ編集可）'!$BP$17:$BP$116,MATCH(A245&amp;B245,'計測入力シート（ここのみ編集可）'!$BO$17:$BO$116,0)),"")</f>
        <v/>
      </c>
      <c r="F246" s="277" t="str">
        <f t="array" ref="F246">IFERROR(INDEX('計測入力シート（ここのみ編集可）'!$BR$17:$BR$116,MATCH(A245&amp;B245,'計測入力シート（ここのみ編集可）'!$BO$17:$BO$116,0)),"")</f>
        <v/>
      </c>
      <c r="G246" s="278" t="str">
        <f t="array" ref="G246">IFERROR(INDEX('計測入力シート（ここのみ編集可）'!$BL$17:$BL$116,MATCH(A245&amp;B245,'計測入力シート（ここのみ編集可）'!$BO$17:$BO$116,0)),"")</f>
        <v/>
      </c>
      <c r="H246" s="279"/>
    </row>
    <row r="247" ht="27.0" customHeight="1">
      <c r="D247" s="280" t="s">
        <v>2</v>
      </c>
      <c r="E247" s="281" t="str">
        <f t="array" ref="E247">IFERROR(INDEX('計測入力シート（ここのみ編集可）'!$C$17:$C$116,MATCH(A245&amp;B245,'計測入力シート（ここのみ編集可）'!$BO$17:$BO$116,0)),"")</f>
        <v/>
      </c>
      <c r="F247" s="317" t="s">
        <v>17</v>
      </c>
      <c r="G247" s="283" t="str">
        <f t="array" ref="G247">IFERROR(INDEX('計測入力シート（ここのみ編集可）'!$D$17:$D$116,MATCH(A245&amp;B245,'計測入力シート（ここのみ編集可）'!$BO$17:$BO$116,0)),"")</f>
        <v/>
      </c>
      <c r="H247" s="284"/>
    </row>
    <row r="248" ht="27.0" customHeight="1">
      <c r="D248" s="285" t="s">
        <v>1</v>
      </c>
      <c r="E248" s="286" t="str">
        <f t="array" ref="E248">IFERROR(INDEX('計測入力シート（ここのみ編集可）'!$B$17:$B$116,MATCH(A245&amp;B245,'計測入力シート（ここのみ編集可）'!$BO$17:$BO$116,0)),"")</f>
        <v/>
      </c>
      <c r="F248" s="318" t="s">
        <v>18</v>
      </c>
      <c r="G248" s="288" t="str">
        <f t="array" ref="G248">IFERROR(INDEX('計測入力シート（ここのみ編集可）'!$E$17:$E$116,MATCH(A245&amp;B245,'計測入力シート（ここのみ編集可）'!$BO$17:$BO$116,0)),"")</f>
        <v/>
      </c>
      <c r="H248" s="289"/>
    </row>
    <row r="249" ht="24.75" customHeight="1">
      <c r="D249" s="290" t="s">
        <v>92</v>
      </c>
      <c r="E249" s="291" t="str">
        <f t="array" ref="E249">IFERROR(INDEX(#REF!,MATCH(A245&amp;B245,'計測入力シート（ここのみ編集可）'!$BO$17:$BO$116,0)),"")</f>
        <v/>
      </c>
      <c r="H249" s="232"/>
    </row>
    <row r="250" ht="52.5" customHeight="1">
      <c r="D250" s="292" t="s">
        <v>100</v>
      </c>
      <c r="E250" s="293" t="str">
        <f t="array" ref="E250">IFERROR(INDEX(#REF!,MATCH(A245&amp;B245,'計測入力シート（ここのみ編集可）'!$BO$17:$BO$116,0)),"")</f>
        <v/>
      </c>
      <c r="F250" s="95"/>
      <c r="G250" s="95"/>
      <c r="H250" s="96"/>
    </row>
    <row r="251" ht="20.25" customHeight="1">
      <c r="D251" s="294" t="s">
        <v>39</v>
      </c>
      <c r="E251" s="295" t="str">
        <f t="array" ref="E251">IFERROR(INDEX('計測入力シート（ここのみ編集可）'!$AW$17:$AW$116,MATCH(A245&amp;B245,'計測入力シート（ここのみ編集可）'!$BO$17:$BO$116,0)),"")</f>
        <v/>
      </c>
      <c r="F251" s="296"/>
      <c r="G251" s="297" t="s">
        <v>110</v>
      </c>
      <c r="H251" s="298" t="str">
        <f t="array" ref="H251">IFERROR(INDEX('計測入力シート（ここのみ編集可）'!$AY$17:$AY$116,MATCH(A245&amp;B245,'計測入力シート（ここのみ編集可）'!$BO$17:$BO$116,0)),"")</f>
        <v/>
      </c>
    </row>
    <row r="252" ht="20.25" customHeight="1">
      <c r="D252" s="299" t="s">
        <v>42</v>
      </c>
      <c r="E252" s="300" t="str">
        <f t="array" ref="E252">IFERROR(INDEX('計測入力シート（ここのみ編集可）'!$AZ$17:$AZ$116,MATCH(A245&amp;B245,'計測入力シート（ここのみ編集可）'!$BO$17:$BO$116,0)),"")</f>
        <v/>
      </c>
      <c r="F252" s="116"/>
      <c r="G252" s="301" t="s">
        <v>111</v>
      </c>
      <c r="H252" s="302" t="str">
        <f t="array" ref="H252">IFERROR(INDEX('計測入力シート（ここのみ編集可）'!$BB$17:$BB$116,MATCH(A245&amp;B245,'計測入力シート（ここのみ編集可）'!$BO$17:$BO$116,0)),"")</f>
        <v/>
      </c>
    </row>
    <row r="253" ht="20.25" customHeight="1">
      <c r="D253" s="303" t="s">
        <v>112</v>
      </c>
      <c r="E253" s="304" t="str">
        <f t="array" ref="E253">IFERROR(INDEX('計測入力シート（ここのみ編集可）'!$BC$17:$BC$116,MATCH(A245&amp;B245,'計測入力シート（ここのみ編集可）'!$BO$17:$BO$116,0)),"")</f>
        <v/>
      </c>
      <c r="F253" s="305"/>
      <c r="G253" s="306" t="s">
        <v>25</v>
      </c>
      <c r="H253" s="307" t="str">
        <f t="array" ref="H253">IFERROR(INDEX('計測入力シート（ここのみ編集可）'!$BD$17:$BD$116,MATCH(A245&amp;B245,'計測入力シート（ここのみ編集可）'!$BO$17:$BO$116,0)),"")</f>
        <v/>
      </c>
    </row>
    <row r="254" ht="20.25" customHeight="1">
      <c r="D254" s="308"/>
    </row>
    <row r="255" ht="27.0" customHeight="1">
      <c r="A255" s="52" t="str">
        <f>A245</f>
        <v>NL</v>
      </c>
      <c r="B255" s="52">
        <f>B245+1</f>
        <v>26</v>
      </c>
      <c r="D255" s="271" t="s">
        <v>80</v>
      </c>
      <c r="E255" s="272" t="s">
        <v>81</v>
      </c>
      <c r="F255" s="272" t="s">
        <v>82</v>
      </c>
      <c r="G255" s="273" t="s">
        <v>49</v>
      </c>
      <c r="H255" s="274"/>
    </row>
    <row r="256" ht="27.0" customHeight="1">
      <c r="A256" s="86"/>
      <c r="B256" s="86"/>
      <c r="D256" s="275" t="str">
        <f t="array" ref="D256">IFERROR(INDEX('計測入力シート（ここのみ編集可）'!$BN$17:$BN$116,MATCH(A255&amp;B255,'計測入力シート（ここのみ編集可）'!$BO$17:$BO$116,0)),"")</f>
        <v/>
      </c>
      <c r="E256" s="276" t="str">
        <f t="array" ref="E256">IFERROR(INDEX('計測入力シート（ここのみ編集可）'!$BP$17:$BP$116,MATCH(A255&amp;B255,'計測入力シート（ここのみ編集可）'!$BO$17:$BO$116,0)),"")</f>
        <v/>
      </c>
      <c r="F256" s="277" t="str">
        <f t="array" ref="F256">IFERROR(INDEX('計測入力シート（ここのみ編集可）'!$BR$17:$BR$116,MATCH(A255&amp;B255,'計測入力シート（ここのみ編集可）'!$BO$17:$BO$116,0)),"")</f>
        <v/>
      </c>
      <c r="G256" s="278" t="str">
        <f t="array" ref="G256">IFERROR(INDEX('計測入力シート（ここのみ編集可）'!$BL$17:$BL$116,MATCH(A255&amp;B255,'計測入力シート（ここのみ編集可）'!$BO$17:$BO$116,0)),"")</f>
        <v/>
      </c>
      <c r="H256" s="279"/>
    </row>
    <row r="257" ht="27.0" customHeight="1">
      <c r="D257" s="280" t="s">
        <v>2</v>
      </c>
      <c r="E257" s="281" t="str">
        <f t="array" ref="E257">IFERROR(INDEX('計測入力シート（ここのみ編集可）'!$C$17:$C$116,MATCH(A255&amp;B255,'計測入力シート（ここのみ編集可）'!$BO$17:$BO$116,0)),"")</f>
        <v/>
      </c>
      <c r="F257" s="317" t="s">
        <v>17</v>
      </c>
      <c r="G257" s="283" t="str">
        <f t="array" ref="G257">IFERROR(INDEX('計測入力シート（ここのみ編集可）'!$D$17:$D$116,MATCH(A255&amp;B255,'計測入力シート（ここのみ編集可）'!$BO$17:$BO$116,0)),"")</f>
        <v/>
      </c>
      <c r="H257" s="284"/>
    </row>
    <row r="258" ht="27.0" customHeight="1">
      <c r="D258" s="285" t="s">
        <v>1</v>
      </c>
      <c r="E258" s="286" t="str">
        <f t="array" ref="E258">IFERROR(INDEX('計測入力シート（ここのみ編集可）'!$B$17:$B$116,MATCH(A255&amp;B255,'計測入力シート（ここのみ編集可）'!$BO$17:$BO$116,0)),"")</f>
        <v/>
      </c>
      <c r="F258" s="318" t="s">
        <v>18</v>
      </c>
      <c r="G258" s="288" t="str">
        <f t="array" ref="G258">IFERROR(INDEX('計測入力シート（ここのみ編集可）'!$E$17:$E$116,MATCH(A255&amp;B255,'計測入力シート（ここのみ編集可）'!$BO$17:$BO$116,0)),"")</f>
        <v/>
      </c>
      <c r="H258" s="289"/>
    </row>
    <row r="259" ht="24.75" customHeight="1">
      <c r="D259" s="290" t="s">
        <v>92</v>
      </c>
      <c r="E259" s="291" t="str">
        <f t="array" ref="E259">IFERROR(INDEX(#REF!,MATCH(A255&amp;B255,'計測入力シート（ここのみ編集可）'!$BO$17:$BO$116,0)),"")</f>
        <v/>
      </c>
      <c r="H259" s="232"/>
    </row>
    <row r="260" ht="52.5" customHeight="1">
      <c r="D260" s="292" t="s">
        <v>100</v>
      </c>
      <c r="E260" s="293" t="str">
        <f t="array" ref="E260">IFERROR(INDEX(#REF!,MATCH(A255&amp;B255,'計測入力シート（ここのみ編集可）'!$BO$17:$BO$116,0)),"")</f>
        <v/>
      </c>
      <c r="F260" s="95"/>
      <c r="G260" s="95"/>
      <c r="H260" s="96"/>
    </row>
    <row r="261" ht="20.25" customHeight="1">
      <c r="D261" s="294" t="s">
        <v>39</v>
      </c>
      <c r="E261" s="295" t="str">
        <f t="array" ref="E261">IFERROR(INDEX('計測入力シート（ここのみ編集可）'!$AW$17:$AW$116,MATCH(A255&amp;B255,'計測入力シート（ここのみ編集可）'!$BO$17:$BO$116,0)),"")</f>
        <v/>
      </c>
      <c r="F261" s="296"/>
      <c r="G261" s="297" t="s">
        <v>110</v>
      </c>
      <c r="H261" s="298" t="str">
        <f t="array" ref="H261">IFERROR(INDEX('計測入力シート（ここのみ編集可）'!$AY$17:$AY$116,MATCH(A255&amp;B255,'計測入力シート（ここのみ編集可）'!$BO$17:$BO$116,0)),"")</f>
        <v/>
      </c>
    </row>
    <row r="262" ht="20.25" customHeight="1">
      <c r="D262" s="299" t="s">
        <v>42</v>
      </c>
      <c r="E262" s="300" t="str">
        <f t="array" ref="E262">IFERROR(INDEX('計測入力シート（ここのみ編集可）'!$AZ$17:$AZ$116,MATCH(A255&amp;B255,'計測入力シート（ここのみ編集可）'!$BO$17:$BO$116,0)),"")</f>
        <v/>
      </c>
      <c r="F262" s="116"/>
      <c r="G262" s="301" t="s">
        <v>111</v>
      </c>
      <c r="H262" s="302" t="str">
        <f t="array" ref="H262">IFERROR(INDEX('計測入力シート（ここのみ編集可）'!$BB$17:$BB$116,MATCH(A255&amp;B255,'計測入力シート（ここのみ編集可）'!$BO$17:$BO$116,0)),"")</f>
        <v/>
      </c>
    </row>
    <row r="263" ht="20.25" customHeight="1">
      <c r="D263" s="303" t="s">
        <v>112</v>
      </c>
      <c r="E263" s="304" t="str">
        <f t="array" ref="E263">IFERROR(INDEX('計測入力シート（ここのみ編集可）'!$BC$17:$BC$116,MATCH(A255&amp;B255,'計測入力シート（ここのみ編集可）'!$BO$17:$BO$116,0)),"")</f>
        <v/>
      </c>
      <c r="F263" s="305"/>
      <c r="G263" s="306" t="s">
        <v>25</v>
      </c>
      <c r="H263" s="307" t="str">
        <f t="array" ref="H263">IFERROR(INDEX('計測入力シート（ここのみ編集可）'!$BD$17:$BD$116,MATCH(A255&amp;B255,'計測入力シート（ここのみ編集可）'!$BO$17:$BO$116,0)),"")</f>
        <v/>
      </c>
    </row>
    <row r="264" ht="20.25" customHeight="1">
      <c r="D264" s="308"/>
    </row>
    <row r="265" ht="27.0" customHeight="1">
      <c r="A265" s="52" t="str">
        <f>A255</f>
        <v>NL</v>
      </c>
      <c r="B265" s="52">
        <f>B255+1</f>
        <v>27</v>
      </c>
      <c r="D265" s="271" t="s">
        <v>80</v>
      </c>
      <c r="E265" s="272" t="s">
        <v>81</v>
      </c>
      <c r="F265" s="272" t="s">
        <v>82</v>
      </c>
      <c r="G265" s="273" t="s">
        <v>49</v>
      </c>
      <c r="H265" s="274"/>
    </row>
    <row r="266" ht="27.0" customHeight="1">
      <c r="A266" s="86"/>
      <c r="B266" s="86"/>
      <c r="D266" s="275" t="str">
        <f t="array" ref="D266">IFERROR(INDEX('計測入力シート（ここのみ編集可）'!$BN$17:$BN$116,MATCH(A265&amp;B265,'計測入力シート（ここのみ編集可）'!$BO$17:$BO$116,0)),"")</f>
        <v/>
      </c>
      <c r="E266" s="276" t="str">
        <f t="array" ref="E266">IFERROR(INDEX('計測入力シート（ここのみ編集可）'!$BP$17:$BP$116,MATCH(A265&amp;B265,'計測入力シート（ここのみ編集可）'!$BO$17:$BO$116,0)),"")</f>
        <v/>
      </c>
      <c r="F266" s="277" t="str">
        <f t="array" ref="F266">IFERROR(INDEX('計測入力シート（ここのみ編集可）'!$BR$17:$BR$116,MATCH(A265&amp;B265,'計測入力シート（ここのみ編集可）'!$BO$17:$BO$116,0)),"")</f>
        <v/>
      </c>
      <c r="G266" s="278" t="str">
        <f t="array" ref="G266">IFERROR(INDEX('計測入力シート（ここのみ編集可）'!$BL$17:$BL$116,MATCH(A265&amp;B265,'計測入力シート（ここのみ編集可）'!$BO$17:$BO$116,0)),"")</f>
        <v/>
      </c>
      <c r="H266" s="279"/>
    </row>
    <row r="267" ht="27.0" customHeight="1">
      <c r="D267" s="280" t="s">
        <v>2</v>
      </c>
      <c r="E267" s="281" t="str">
        <f t="array" ref="E267">IFERROR(INDEX('計測入力シート（ここのみ編集可）'!$C$17:$C$116,MATCH(A265&amp;B265,'計測入力シート（ここのみ編集可）'!$BO$17:$BO$116,0)),"")</f>
        <v/>
      </c>
      <c r="F267" s="317" t="s">
        <v>17</v>
      </c>
      <c r="G267" s="283" t="str">
        <f t="array" ref="G267">IFERROR(INDEX('計測入力シート（ここのみ編集可）'!$D$17:$D$116,MATCH(A265&amp;B265,'計測入力シート（ここのみ編集可）'!$BO$17:$BO$116,0)),"")</f>
        <v/>
      </c>
      <c r="H267" s="284"/>
    </row>
    <row r="268" ht="27.0" customHeight="1">
      <c r="D268" s="285" t="s">
        <v>1</v>
      </c>
      <c r="E268" s="286" t="str">
        <f t="array" ref="E268">IFERROR(INDEX('計測入力シート（ここのみ編集可）'!$B$17:$B$116,MATCH(A265&amp;B265,'計測入力シート（ここのみ編集可）'!$BO$17:$BO$116,0)),"")</f>
        <v/>
      </c>
      <c r="F268" s="318" t="s">
        <v>18</v>
      </c>
      <c r="G268" s="288" t="str">
        <f t="array" ref="G268">IFERROR(INDEX('計測入力シート（ここのみ編集可）'!$E$17:$E$116,MATCH(A265&amp;B265,'計測入力シート（ここのみ編集可）'!$BO$17:$BO$116,0)),"")</f>
        <v/>
      </c>
      <c r="H268" s="289"/>
    </row>
    <row r="269" ht="24.75" customHeight="1">
      <c r="D269" s="290" t="s">
        <v>92</v>
      </c>
      <c r="E269" s="291" t="str">
        <f t="array" ref="E269">IFERROR(INDEX(#REF!,MATCH(A265&amp;B265,'計測入力シート（ここのみ編集可）'!$BO$17:$BO$116,0)),"")</f>
        <v/>
      </c>
      <c r="H269" s="232"/>
    </row>
    <row r="270" ht="52.5" customHeight="1">
      <c r="D270" s="292" t="s">
        <v>100</v>
      </c>
      <c r="E270" s="293" t="str">
        <f t="array" ref="E270">IFERROR(INDEX(#REF!,MATCH(A265&amp;B265,'計測入力シート（ここのみ編集可）'!$BO$17:$BO$116,0)),"")</f>
        <v/>
      </c>
      <c r="F270" s="95"/>
      <c r="G270" s="95"/>
      <c r="H270" s="96"/>
    </row>
    <row r="271" ht="20.25" customHeight="1">
      <c r="D271" s="294" t="s">
        <v>39</v>
      </c>
      <c r="E271" s="295" t="str">
        <f t="array" ref="E271">IFERROR(INDEX('計測入力シート（ここのみ編集可）'!$AW$17:$AW$116,MATCH(A265&amp;B265,'計測入力シート（ここのみ編集可）'!$BO$17:$BO$116,0)),"")</f>
        <v/>
      </c>
      <c r="F271" s="296"/>
      <c r="G271" s="297" t="s">
        <v>110</v>
      </c>
      <c r="H271" s="298" t="str">
        <f t="array" ref="H271">IFERROR(INDEX('計測入力シート（ここのみ編集可）'!$AY$17:$AY$116,MATCH(A265&amp;B265,'計測入力シート（ここのみ編集可）'!$BO$17:$BO$116,0)),"")</f>
        <v/>
      </c>
    </row>
    <row r="272" ht="20.25" customHeight="1">
      <c r="D272" s="299" t="s">
        <v>42</v>
      </c>
      <c r="E272" s="300" t="str">
        <f t="array" ref="E272">IFERROR(INDEX('計測入力シート（ここのみ編集可）'!$AZ$17:$AZ$116,MATCH(A265&amp;B265,'計測入力シート（ここのみ編集可）'!$BO$17:$BO$116,0)),"")</f>
        <v/>
      </c>
      <c r="F272" s="116"/>
      <c r="G272" s="301" t="s">
        <v>111</v>
      </c>
      <c r="H272" s="302" t="str">
        <f t="array" ref="H272">IFERROR(INDEX('計測入力シート（ここのみ編集可）'!$BB$17:$BB$116,MATCH(A265&amp;B265,'計測入力シート（ここのみ編集可）'!$BO$17:$BO$116,0)),"")</f>
        <v/>
      </c>
    </row>
    <row r="273" ht="20.25" customHeight="1">
      <c r="D273" s="303" t="s">
        <v>112</v>
      </c>
      <c r="E273" s="304" t="str">
        <f t="array" ref="E273">IFERROR(INDEX('計測入力シート（ここのみ編集可）'!$BC$17:$BC$116,MATCH(A265&amp;B265,'計測入力シート（ここのみ編集可）'!$BO$17:$BO$116,0)),"")</f>
        <v/>
      </c>
      <c r="F273" s="305"/>
      <c r="G273" s="306" t="s">
        <v>25</v>
      </c>
      <c r="H273" s="307" t="str">
        <f t="array" ref="H273">IFERROR(INDEX('計測入力シート（ここのみ編集可）'!$BD$17:$BD$116,MATCH(A265&amp;B265,'計測入力シート（ここのみ編集可）'!$BO$17:$BO$116,0)),"")</f>
        <v/>
      </c>
    </row>
    <row r="274" ht="20.25" customHeight="1">
      <c r="D274" s="308"/>
    </row>
    <row r="275" ht="27.0" customHeight="1">
      <c r="A275" s="52" t="str">
        <f>A265</f>
        <v>NL</v>
      </c>
      <c r="B275" s="52">
        <f>B265+1</f>
        <v>28</v>
      </c>
      <c r="D275" s="271" t="s">
        <v>80</v>
      </c>
      <c r="E275" s="272" t="s">
        <v>81</v>
      </c>
      <c r="F275" s="272" t="s">
        <v>82</v>
      </c>
      <c r="G275" s="273" t="s">
        <v>49</v>
      </c>
      <c r="H275" s="274"/>
    </row>
    <row r="276" ht="27.0" customHeight="1">
      <c r="A276" s="86"/>
      <c r="B276" s="86"/>
      <c r="D276" s="275" t="str">
        <f t="array" ref="D276">IFERROR(INDEX('計測入力シート（ここのみ編集可）'!$BN$17:$BN$116,MATCH(A275&amp;B275,'計測入力シート（ここのみ編集可）'!$BO$17:$BO$116,0)),"")</f>
        <v/>
      </c>
      <c r="E276" s="276" t="str">
        <f t="array" ref="E276">IFERROR(INDEX('計測入力シート（ここのみ編集可）'!$BP$17:$BP$116,MATCH(A275&amp;B275,'計測入力シート（ここのみ編集可）'!$BO$17:$BO$116,0)),"")</f>
        <v/>
      </c>
      <c r="F276" s="277" t="str">
        <f t="array" ref="F276">IFERROR(INDEX('計測入力シート（ここのみ編集可）'!$BR$17:$BR$116,MATCH(A275&amp;B275,'計測入力シート（ここのみ編集可）'!$BO$17:$BO$116,0)),"")</f>
        <v/>
      </c>
      <c r="G276" s="278" t="str">
        <f t="array" ref="G276">IFERROR(INDEX('計測入力シート（ここのみ編集可）'!$BL$17:$BL$116,MATCH(A275&amp;B275,'計測入力シート（ここのみ編集可）'!$BO$17:$BO$116,0)),"")</f>
        <v/>
      </c>
      <c r="H276" s="279"/>
    </row>
    <row r="277" ht="27.0" customHeight="1">
      <c r="D277" s="280" t="s">
        <v>2</v>
      </c>
      <c r="E277" s="281" t="str">
        <f t="array" ref="E277">IFERROR(INDEX('計測入力シート（ここのみ編集可）'!$C$17:$C$116,MATCH(A275&amp;B275,'計測入力シート（ここのみ編集可）'!$BO$17:$BO$116,0)),"")</f>
        <v/>
      </c>
      <c r="F277" s="317" t="s">
        <v>17</v>
      </c>
      <c r="G277" s="283" t="str">
        <f t="array" ref="G277">IFERROR(INDEX('計測入力シート（ここのみ編集可）'!$D$17:$D$116,MATCH(A275&amp;B275,'計測入力シート（ここのみ編集可）'!$BO$17:$BO$116,0)),"")</f>
        <v/>
      </c>
      <c r="H277" s="284"/>
    </row>
    <row r="278" ht="27.0" customHeight="1">
      <c r="D278" s="285" t="s">
        <v>1</v>
      </c>
      <c r="E278" s="286" t="str">
        <f t="array" ref="E278">IFERROR(INDEX('計測入力シート（ここのみ編集可）'!$B$17:$B$116,MATCH(A275&amp;B275,'計測入力シート（ここのみ編集可）'!$BO$17:$BO$116,0)),"")</f>
        <v/>
      </c>
      <c r="F278" s="318" t="s">
        <v>18</v>
      </c>
      <c r="G278" s="288" t="str">
        <f t="array" ref="G278">IFERROR(INDEX('計測入力シート（ここのみ編集可）'!$E$17:$E$116,MATCH(A275&amp;B275,'計測入力シート（ここのみ編集可）'!$BO$17:$BO$116,0)),"")</f>
        <v/>
      </c>
      <c r="H278" s="289"/>
    </row>
    <row r="279" ht="24.75" customHeight="1">
      <c r="D279" s="290" t="s">
        <v>92</v>
      </c>
      <c r="E279" s="291" t="str">
        <f t="array" ref="E279">IFERROR(INDEX(#REF!,MATCH(A275&amp;B275,'計測入力シート（ここのみ編集可）'!$BO$17:$BO$116,0)),"")</f>
        <v/>
      </c>
      <c r="H279" s="232"/>
    </row>
    <row r="280" ht="52.5" customHeight="1">
      <c r="D280" s="292" t="s">
        <v>100</v>
      </c>
      <c r="E280" s="293" t="str">
        <f t="array" ref="E280">IFERROR(INDEX(#REF!,MATCH(A275&amp;B275,'計測入力シート（ここのみ編集可）'!$BO$17:$BO$116,0)),"")</f>
        <v/>
      </c>
      <c r="F280" s="95"/>
      <c r="G280" s="95"/>
      <c r="H280" s="96"/>
    </row>
    <row r="281" ht="20.25" customHeight="1">
      <c r="D281" s="294" t="s">
        <v>39</v>
      </c>
      <c r="E281" s="295" t="str">
        <f t="array" ref="E281">IFERROR(INDEX('計測入力シート（ここのみ編集可）'!$AW$17:$AW$116,MATCH(A275&amp;B275,'計測入力シート（ここのみ編集可）'!$BO$17:$BO$116,0)),"")</f>
        <v/>
      </c>
      <c r="F281" s="296"/>
      <c r="G281" s="297" t="s">
        <v>110</v>
      </c>
      <c r="H281" s="298" t="str">
        <f t="array" ref="H281">IFERROR(INDEX('計測入力シート（ここのみ編集可）'!$AY$17:$AY$116,MATCH(A275&amp;B275,'計測入力シート（ここのみ編集可）'!$BO$17:$BO$116,0)),"")</f>
        <v/>
      </c>
    </row>
    <row r="282" ht="20.25" customHeight="1">
      <c r="D282" s="299" t="s">
        <v>42</v>
      </c>
      <c r="E282" s="300" t="str">
        <f t="array" ref="E282">IFERROR(INDEX('計測入力シート（ここのみ編集可）'!$AZ$17:$AZ$116,MATCH(A275&amp;B275,'計測入力シート（ここのみ編集可）'!$BO$17:$BO$116,0)),"")</f>
        <v/>
      </c>
      <c r="F282" s="116"/>
      <c r="G282" s="301" t="s">
        <v>111</v>
      </c>
      <c r="H282" s="302" t="str">
        <f t="array" ref="H282">IFERROR(INDEX('計測入力シート（ここのみ編集可）'!$BB$17:$BB$116,MATCH(A275&amp;B275,'計測入力シート（ここのみ編集可）'!$BO$17:$BO$116,0)),"")</f>
        <v/>
      </c>
    </row>
    <row r="283" ht="20.25" customHeight="1">
      <c r="D283" s="303" t="s">
        <v>112</v>
      </c>
      <c r="E283" s="304" t="str">
        <f t="array" ref="E283">IFERROR(INDEX('計測入力シート（ここのみ編集可）'!$BC$17:$BC$116,MATCH(A275&amp;B275,'計測入力シート（ここのみ編集可）'!$BO$17:$BO$116,0)),"")</f>
        <v/>
      </c>
      <c r="F283" s="305"/>
      <c r="G283" s="306" t="s">
        <v>25</v>
      </c>
      <c r="H283" s="307" t="str">
        <f t="array" ref="H283">IFERROR(INDEX('計測入力シート（ここのみ編集可）'!$BD$17:$BD$116,MATCH(A275&amp;B275,'計測入力シート（ここのみ編集可）'!$BO$17:$BO$116,0)),"")</f>
        <v/>
      </c>
    </row>
    <row r="284" ht="20.25" customHeight="1">
      <c r="D284" s="308"/>
    </row>
    <row r="285" ht="27.0" customHeight="1">
      <c r="A285" s="52" t="str">
        <f>A275</f>
        <v>NL</v>
      </c>
      <c r="B285" s="52">
        <f>B275+1</f>
        <v>29</v>
      </c>
      <c r="D285" s="271" t="s">
        <v>80</v>
      </c>
      <c r="E285" s="272" t="s">
        <v>81</v>
      </c>
      <c r="F285" s="272" t="s">
        <v>82</v>
      </c>
      <c r="G285" s="273" t="s">
        <v>49</v>
      </c>
      <c r="H285" s="274"/>
    </row>
    <row r="286" ht="27.0" customHeight="1">
      <c r="A286" s="86"/>
      <c r="B286" s="86"/>
      <c r="D286" s="275" t="str">
        <f t="array" ref="D286">IFERROR(INDEX('計測入力シート（ここのみ編集可）'!$BN$17:$BN$116,MATCH(A285&amp;B285,'計測入力シート（ここのみ編集可）'!$BO$17:$BO$116,0)),"")</f>
        <v/>
      </c>
      <c r="E286" s="276" t="str">
        <f t="array" ref="E286">IFERROR(INDEX('計測入力シート（ここのみ編集可）'!$BP$17:$BP$116,MATCH(A285&amp;B285,'計測入力シート（ここのみ編集可）'!$BO$17:$BO$116,0)),"")</f>
        <v/>
      </c>
      <c r="F286" s="277" t="str">
        <f t="array" ref="F286">IFERROR(INDEX('計測入力シート（ここのみ編集可）'!$BR$17:$BR$116,MATCH(A285&amp;B285,'計測入力シート（ここのみ編集可）'!$BO$17:$BO$116,0)),"")</f>
        <v/>
      </c>
      <c r="G286" s="278" t="str">
        <f t="array" ref="G286">IFERROR(INDEX('計測入力シート（ここのみ編集可）'!$BL$17:$BL$116,MATCH(A285&amp;B285,'計測入力シート（ここのみ編集可）'!$BO$17:$BO$116,0)),"")</f>
        <v/>
      </c>
      <c r="H286" s="279"/>
    </row>
    <row r="287" ht="27.0" customHeight="1">
      <c r="D287" s="280" t="s">
        <v>2</v>
      </c>
      <c r="E287" s="281" t="str">
        <f t="array" ref="E287">IFERROR(INDEX('計測入力シート（ここのみ編集可）'!$C$17:$C$116,MATCH(A285&amp;B285,'計測入力シート（ここのみ編集可）'!$BO$17:$BO$116,0)),"")</f>
        <v/>
      </c>
      <c r="F287" s="317" t="s">
        <v>17</v>
      </c>
      <c r="G287" s="283" t="str">
        <f t="array" ref="G287">IFERROR(INDEX('計測入力シート（ここのみ編集可）'!$D$17:$D$116,MATCH(A285&amp;B285,'計測入力シート（ここのみ編集可）'!$BO$17:$BO$116,0)),"")</f>
        <v/>
      </c>
      <c r="H287" s="284"/>
    </row>
    <row r="288" ht="27.0" customHeight="1">
      <c r="D288" s="285" t="s">
        <v>1</v>
      </c>
      <c r="E288" s="286" t="str">
        <f t="array" ref="E288">IFERROR(INDEX('計測入力シート（ここのみ編集可）'!$B$17:$B$116,MATCH(A285&amp;B285,'計測入力シート（ここのみ編集可）'!$BO$17:$BO$116,0)),"")</f>
        <v/>
      </c>
      <c r="F288" s="318" t="s">
        <v>18</v>
      </c>
      <c r="G288" s="288" t="str">
        <f t="array" ref="G288">IFERROR(INDEX('計測入力シート（ここのみ編集可）'!$E$17:$E$116,MATCH(A285&amp;B285,'計測入力シート（ここのみ編集可）'!$BO$17:$BO$116,0)),"")</f>
        <v/>
      </c>
      <c r="H288" s="289"/>
    </row>
    <row r="289" ht="24.75" customHeight="1">
      <c r="D289" s="290" t="s">
        <v>92</v>
      </c>
      <c r="E289" s="291" t="str">
        <f t="array" ref="E289">IFERROR(INDEX(#REF!,MATCH(A285&amp;B285,'計測入力シート（ここのみ編集可）'!$BO$17:$BO$116,0)),"")</f>
        <v/>
      </c>
      <c r="H289" s="232"/>
    </row>
    <row r="290" ht="52.5" customHeight="1">
      <c r="D290" s="292" t="s">
        <v>100</v>
      </c>
      <c r="E290" s="293" t="str">
        <f t="array" ref="E290">IFERROR(INDEX(#REF!,MATCH(A285&amp;B285,'計測入力シート（ここのみ編集可）'!$BO$17:$BO$116,0)),"")</f>
        <v/>
      </c>
      <c r="F290" s="95"/>
      <c r="G290" s="95"/>
      <c r="H290" s="96"/>
    </row>
    <row r="291" ht="20.25" customHeight="1">
      <c r="D291" s="294" t="s">
        <v>39</v>
      </c>
      <c r="E291" s="295" t="str">
        <f t="array" ref="E291">IFERROR(INDEX('計測入力シート（ここのみ編集可）'!$AW$17:$AW$116,MATCH(A285&amp;B285,'計測入力シート（ここのみ編集可）'!$BO$17:$BO$116,0)),"")</f>
        <v/>
      </c>
      <c r="F291" s="296"/>
      <c r="G291" s="297" t="s">
        <v>110</v>
      </c>
      <c r="H291" s="298" t="str">
        <f t="array" ref="H291">IFERROR(INDEX('計測入力シート（ここのみ編集可）'!$AY$17:$AY$116,MATCH(A285&amp;B285,'計測入力シート（ここのみ編集可）'!$BO$17:$BO$116,0)),"")</f>
        <v/>
      </c>
    </row>
    <row r="292" ht="20.25" customHeight="1">
      <c r="D292" s="299" t="s">
        <v>42</v>
      </c>
      <c r="E292" s="300" t="str">
        <f t="array" ref="E292">IFERROR(INDEX('計測入力シート（ここのみ編集可）'!$AZ$17:$AZ$116,MATCH(A285&amp;B285,'計測入力シート（ここのみ編集可）'!$BO$17:$BO$116,0)),"")</f>
        <v/>
      </c>
      <c r="F292" s="116"/>
      <c r="G292" s="301" t="s">
        <v>111</v>
      </c>
      <c r="H292" s="302" t="str">
        <f t="array" ref="H292">IFERROR(INDEX('計測入力シート（ここのみ編集可）'!$BB$17:$BB$116,MATCH(A285&amp;B285,'計測入力シート（ここのみ編集可）'!$BO$17:$BO$116,0)),"")</f>
        <v/>
      </c>
    </row>
    <row r="293" ht="20.25" customHeight="1">
      <c r="D293" s="303" t="s">
        <v>112</v>
      </c>
      <c r="E293" s="304" t="str">
        <f t="array" ref="E293">IFERROR(INDEX('計測入力シート（ここのみ編集可）'!$BC$17:$BC$116,MATCH(A285&amp;B285,'計測入力シート（ここのみ編集可）'!$BO$17:$BO$116,0)),"")</f>
        <v/>
      </c>
      <c r="F293" s="305"/>
      <c r="G293" s="306" t="s">
        <v>25</v>
      </c>
      <c r="H293" s="307" t="str">
        <f t="array" ref="H293">IFERROR(INDEX('計測入力シート（ここのみ編集可）'!$BD$17:$BD$116,MATCH(A285&amp;B285,'計測入力シート（ここのみ編集可）'!$BO$17:$BO$116,0)),"")</f>
        <v/>
      </c>
    </row>
    <row r="294" ht="20.25" customHeight="1">
      <c r="D294" s="308"/>
    </row>
    <row r="295" ht="27.0" customHeight="1">
      <c r="A295" s="52" t="str">
        <f>A285</f>
        <v>NL</v>
      </c>
      <c r="B295" s="52">
        <f>B285+1</f>
        <v>30</v>
      </c>
      <c r="D295" s="271" t="s">
        <v>80</v>
      </c>
      <c r="E295" s="272" t="s">
        <v>81</v>
      </c>
      <c r="F295" s="272" t="s">
        <v>82</v>
      </c>
      <c r="G295" s="273" t="s">
        <v>49</v>
      </c>
      <c r="H295" s="274"/>
    </row>
    <row r="296" ht="27.0" customHeight="1">
      <c r="A296" s="86"/>
      <c r="B296" s="86"/>
      <c r="D296" s="275" t="str">
        <f t="array" ref="D296">IFERROR(INDEX('計測入力シート（ここのみ編集可）'!$BN$17:$BN$116,MATCH(A295&amp;B295,'計測入力シート（ここのみ編集可）'!$BO$17:$BO$116,0)),"")</f>
        <v/>
      </c>
      <c r="E296" s="276" t="str">
        <f t="array" ref="E296">IFERROR(INDEX('計測入力シート（ここのみ編集可）'!$BP$17:$BP$116,MATCH(A295&amp;B295,'計測入力シート（ここのみ編集可）'!$BO$17:$BO$116,0)),"")</f>
        <v/>
      </c>
      <c r="F296" s="277" t="str">
        <f t="array" ref="F296">IFERROR(INDEX('計測入力シート（ここのみ編集可）'!$BR$17:$BR$116,MATCH(A295&amp;B295,'計測入力シート（ここのみ編集可）'!$BO$17:$BO$116,0)),"")</f>
        <v/>
      </c>
      <c r="G296" s="278" t="str">
        <f t="array" ref="G296">IFERROR(INDEX('計測入力シート（ここのみ編集可）'!$BL$17:$BL$116,MATCH(A295&amp;B295,'計測入力シート（ここのみ編集可）'!$BO$17:$BO$116,0)),"")</f>
        <v/>
      </c>
      <c r="H296" s="279"/>
    </row>
    <row r="297" ht="27.0" customHeight="1">
      <c r="D297" s="280" t="s">
        <v>2</v>
      </c>
      <c r="E297" s="281" t="str">
        <f t="array" ref="E297">IFERROR(INDEX('計測入力シート（ここのみ編集可）'!$C$17:$C$116,MATCH(A295&amp;B295,'計測入力シート（ここのみ編集可）'!$BO$17:$BO$116,0)),"")</f>
        <v/>
      </c>
      <c r="F297" s="317" t="s">
        <v>17</v>
      </c>
      <c r="G297" s="283" t="str">
        <f t="array" ref="G297">IFERROR(INDEX('計測入力シート（ここのみ編集可）'!$D$17:$D$116,MATCH(A295&amp;B295,'計測入力シート（ここのみ編集可）'!$BO$17:$BO$116,0)),"")</f>
        <v/>
      </c>
      <c r="H297" s="284"/>
    </row>
    <row r="298" ht="27.0" customHeight="1">
      <c r="D298" s="285" t="s">
        <v>1</v>
      </c>
      <c r="E298" s="286" t="str">
        <f t="array" ref="E298">IFERROR(INDEX('計測入力シート（ここのみ編集可）'!$B$17:$B$116,MATCH(A295&amp;B295,'計測入力シート（ここのみ編集可）'!$BO$17:$BO$116,0)),"")</f>
        <v/>
      </c>
      <c r="F298" s="318" t="s">
        <v>18</v>
      </c>
      <c r="G298" s="288" t="str">
        <f t="array" ref="G298">IFERROR(INDEX('計測入力シート（ここのみ編集可）'!$E$17:$E$116,MATCH(A295&amp;B295,'計測入力シート（ここのみ編集可）'!$BO$17:$BO$116,0)),"")</f>
        <v/>
      </c>
      <c r="H298" s="289"/>
    </row>
    <row r="299" ht="24.75" customHeight="1">
      <c r="D299" s="290" t="s">
        <v>92</v>
      </c>
      <c r="E299" s="291" t="str">
        <f t="array" ref="E299">IFERROR(INDEX(#REF!,MATCH(A295&amp;B295,'計測入力シート（ここのみ編集可）'!$BO$17:$BO$116,0)),"")</f>
        <v/>
      </c>
      <c r="H299" s="232"/>
    </row>
    <row r="300" ht="52.5" customHeight="1">
      <c r="D300" s="292" t="s">
        <v>100</v>
      </c>
      <c r="E300" s="293" t="str">
        <f t="array" ref="E300">IFERROR(INDEX(#REF!,MATCH(A295&amp;B295,'計測入力シート（ここのみ編集可）'!$BO$17:$BO$116,0)),"")</f>
        <v/>
      </c>
      <c r="F300" s="95"/>
      <c r="G300" s="95"/>
      <c r="H300" s="96"/>
    </row>
    <row r="301" ht="20.25" customHeight="1">
      <c r="D301" s="294" t="s">
        <v>39</v>
      </c>
      <c r="E301" s="295" t="str">
        <f t="array" ref="E301">IFERROR(INDEX('計測入力シート（ここのみ編集可）'!$AW$17:$AW$116,MATCH(A295&amp;B295,'計測入力シート（ここのみ編集可）'!$BO$17:$BO$116,0)),"")</f>
        <v/>
      </c>
      <c r="F301" s="296"/>
      <c r="G301" s="297" t="s">
        <v>110</v>
      </c>
      <c r="H301" s="298" t="str">
        <f t="array" ref="H301">IFERROR(INDEX('計測入力シート（ここのみ編集可）'!$AY$17:$AY$116,MATCH(A295&amp;B295,'計測入力シート（ここのみ編集可）'!$BO$17:$BO$116,0)),"")</f>
        <v/>
      </c>
    </row>
    <row r="302" ht="20.25" customHeight="1">
      <c r="D302" s="299" t="s">
        <v>42</v>
      </c>
      <c r="E302" s="300" t="str">
        <f t="array" ref="E302">IFERROR(INDEX('計測入力シート（ここのみ編集可）'!$AZ$17:$AZ$116,MATCH(A295&amp;B295,'計測入力シート（ここのみ編集可）'!$BO$17:$BO$116,0)),"")</f>
        <v/>
      </c>
      <c r="F302" s="116"/>
      <c r="G302" s="301" t="s">
        <v>111</v>
      </c>
      <c r="H302" s="302" t="str">
        <f t="array" ref="H302">IFERROR(INDEX('計測入力シート（ここのみ編集可）'!$BB$17:$BB$116,MATCH(A295&amp;B295,'計測入力シート（ここのみ編集可）'!$BO$17:$BO$116,0)),"")</f>
        <v/>
      </c>
    </row>
    <row r="303" ht="20.25" customHeight="1">
      <c r="D303" s="303" t="s">
        <v>112</v>
      </c>
      <c r="E303" s="304" t="str">
        <f t="array" ref="E303">IFERROR(INDEX('計測入力シート（ここのみ編集可）'!$BC$17:$BC$116,MATCH(A295&amp;B295,'計測入力シート（ここのみ編集可）'!$BO$17:$BO$116,0)),"")</f>
        <v/>
      </c>
      <c r="F303" s="305"/>
      <c r="G303" s="306" t="s">
        <v>25</v>
      </c>
      <c r="H303" s="307" t="str">
        <f t="array" ref="H303">IFERROR(INDEX('計測入力シート（ここのみ編集可）'!$BD$17:$BD$116,MATCH(A295&amp;B295,'計測入力シート（ここのみ編集可）'!$BO$17:$BO$116,0)),"")</f>
        <v/>
      </c>
    </row>
    <row r="304">
      <c r="D304" s="309"/>
      <c r="E304" s="309"/>
      <c r="F304" s="309"/>
      <c r="G304" s="309"/>
      <c r="H304" s="309"/>
    </row>
    <row r="305">
      <c r="D305" s="309"/>
      <c r="E305" s="309"/>
      <c r="F305" s="309"/>
      <c r="G305" s="309"/>
      <c r="H305" s="309"/>
    </row>
    <row r="306">
      <c r="D306" s="309"/>
      <c r="E306" s="309"/>
      <c r="F306" s="309"/>
      <c r="G306" s="309"/>
      <c r="H306" s="309"/>
    </row>
    <row r="307">
      <c r="D307" s="309"/>
      <c r="E307" s="309"/>
      <c r="F307" s="309"/>
      <c r="G307" s="309"/>
      <c r="H307" s="309"/>
    </row>
    <row r="308">
      <c r="D308" s="309"/>
      <c r="E308" s="309"/>
      <c r="F308" s="309"/>
      <c r="G308" s="309"/>
      <c r="H308" s="309"/>
    </row>
    <row r="309">
      <c r="D309" s="309"/>
      <c r="E309" s="309"/>
      <c r="F309" s="309"/>
      <c r="G309" s="309"/>
      <c r="H309" s="309"/>
    </row>
    <row r="310">
      <c r="D310" s="309"/>
      <c r="E310" s="309"/>
      <c r="F310" s="309"/>
      <c r="G310" s="309"/>
      <c r="H310" s="309"/>
    </row>
    <row r="311">
      <c r="D311" s="309"/>
      <c r="E311" s="309"/>
      <c r="F311" s="309"/>
      <c r="G311" s="309"/>
      <c r="H311" s="309"/>
    </row>
    <row r="312">
      <c r="D312" s="309"/>
      <c r="E312" s="309"/>
      <c r="F312" s="309"/>
      <c r="G312" s="309"/>
      <c r="H312" s="309"/>
    </row>
    <row r="313">
      <c r="D313" s="309"/>
      <c r="E313" s="309"/>
      <c r="F313" s="309"/>
      <c r="G313" s="309"/>
      <c r="H313" s="309"/>
    </row>
    <row r="314">
      <c r="D314" s="309"/>
      <c r="E314" s="309"/>
      <c r="F314" s="309"/>
      <c r="G314" s="309"/>
      <c r="H314" s="309"/>
    </row>
    <row r="315">
      <c r="D315" s="309"/>
      <c r="E315" s="309"/>
      <c r="F315" s="309"/>
      <c r="G315" s="309"/>
      <c r="H315" s="309"/>
    </row>
    <row r="316">
      <c r="D316" s="309"/>
      <c r="E316" s="309"/>
      <c r="F316" s="309"/>
      <c r="G316" s="309"/>
      <c r="H316" s="309"/>
    </row>
    <row r="317">
      <c r="D317" s="309"/>
      <c r="E317" s="309"/>
      <c r="F317" s="309"/>
      <c r="G317" s="309"/>
      <c r="H317" s="309"/>
    </row>
    <row r="318">
      <c r="D318" s="309"/>
      <c r="E318" s="309"/>
      <c r="F318" s="309"/>
      <c r="G318" s="309"/>
      <c r="H318" s="309"/>
    </row>
    <row r="319">
      <c r="D319" s="309"/>
      <c r="E319" s="309"/>
      <c r="F319" s="309"/>
      <c r="G319" s="309"/>
      <c r="H319" s="309"/>
    </row>
    <row r="320">
      <c r="D320" s="309"/>
      <c r="E320" s="309"/>
      <c r="F320" s="309"/>
      <c r="G320" s="309"/>
      <c r="H320" s="309"/>
    </row>
    <row r="321">
      <c r="D321" s="309"/>
      <c r="E321" s="309"/>
      <c r="F321" s="309"/>
      <c r="G321" s="309"/>
      <c r="H321" s="309"/>
      <c r="I321" s="309"/>
    </row>
    <row r="322">
      <c r="D322" s="309"/>
      <c r="E322" s="309"/>
      <c r="F322" s="309"/>
      <c r="G322" s="309"/>
      <c r="H322" s="309"/>
      <c r="I322" s="309"/>
    </row>
    <row r="323">
      <c r="D323" s="309"/>
      <c r="E323" s="309"/>
      <c r="F323" s="309"/>
      <c r="G323" s="309"/>
      <c r="H323" s="309"/>
      <c r="I323" s="309"/>
    </row>
    <row r="324">
      <c r="D324" s="309"/>
      <c r="E324" s="309"/>
      <c r="F324" s="309"/>
      <c r="G324" s="309"/>
      <c r="H324" s="309"/>
      <c r="I324" s="309"/>
    </row>
    <row r="325">
      <c r="D325" s="309"/>
      <c r="E325" s="309"/>
      <c r="F325" s="309"/>
      <c r="G325" s="309"/>
      <c r="H325" s="309"/>
      <c r="I325" s="309"/>
    </row>
    <row r="326">
      <c r="D326" s="309"/>
      <c r="E326" s="309"/>
      <c r="F326" s="309"/>
      <c r="G326" s="309"/>
      <c r="H326" s="309"/>
      <c r="I326" s="309"/>
    </row>
    <row r="327">
      <c r="D327" s="309"/>
      <c r="E327" s="309"/>
      <c r="F327" s="309"/>
      <c r="G327" s="309"/>
      <c r="H327" s="309"/>
      <c r="I327" s="309"/>
    </row>
    <row r="328">
      <c r="D328" s="309"/>
      <c r="E328" s="309"/>
      <c r="F328" s="309"/>
      <c r="G328" s="309"/>
      <c r="H328" s="309"/>
      <c r="I328" s="309"/>
    </row>
    <row r="329">
      <c r="D329" s="309"/>
      <c r="E329" s="309"/>
      <c r="F329" s="309"/>
      <c r="G329" s="309"/>
      <c r="H329" s="309"/>
      <c r="I329" s="309"/>
    </row>
    <row r="330">
      <c r="D330" s="309"/>
      <c r="E330" s="309"/>
      <c r="F330" s="309"/>
      <c r="G330" s="309"/>
      <c r="H330" s="309"/>
      <c r="I330" s="309"/>
    </row>
    <row r="331">
      <c r="D331" s="309"/>
      <c r="E331" s="309"/>
      <c r="F331" s="309"/>
      <c r="G331" s="309"/>
      <c r="H331" s="309"/>
      <c r="I331" s="309"/>
    </row>
    <row r="332">
      <c r="D332" s="309"/>
      <c r="E332" s="309"/>
      <c r="F332" s="309"/>
      <c r="G332" s="309"/>
      <c r="H332" s="309"/>
      <c r="I332" s="309"/>
    </row>
    <row r="333">
      <c r="D333" s="309"/>
      <c r="E333" s="309"/>
      <c r="F333" s="309"/>
      <c r="G333" s="309"/>
      <c r="H333" s="309"/>
      <c r="I333" s="309"/>
    </row>
    <row r="334">
      <c r="D334" s="309"/>
      <c r="E334" s="309"/>
      <c r="F334" s="309"/>
      <c r="G334" s="309"/>
      <c r="H334" s="309"/>
      <c r="I334" s="309"/>
    </row>
    <row r="335">
      <c r="D335" s="309"/>
      <c r="E335" s="309"/>
      <c r="F335" s="309"/>
      <c r="G335" s="309"/>
      <c r="H335" s="309"/>
      <c r="I335" s="309"/>
    </row>
    <row r="336">
      <c r="D336" s="309"/>
      <c r="E336" s="309"/>
      <c r="F336" s="309"/>
      <c r="G336" s="309"/>
      <c r="H336" s="309"/>
      <c r="I336" s="309"/>
    </row>
    <row r="337">
      <c r="D337" s="309"/>
      <c r="E337" s="309"/>
      <c r="F337" s="309"/>
      <c r="G337" s="309"/>
      <c r="H337" s="309"/>
      <c r="I337" s="309"/>
    </row>
    <row r="338">
      <c r="D338" s="309"/>
      <c r="E338" s="309"/>
      <c r="F338" s="309"/>
      <c r="G338" s="309"/>
      <c r="H338" s="309"/>
      <c r="I338" s="309"/>
    </row>
    <row r="339">
      <c r="D339" s="309"/>
      <c r="E339" s="309"/>
      <c r="F339" s="309"/>
      <c r="G339" s="309"/>
      <c r="H339" s="309"/>
      <c r="I339" s="309"/>
    </row>
    <row r="340">
      <c r="D340" s="309"/>
      <c r="E340" s="309"/>
      <c r="F340" s="309"/>
      <c r="G340" s="309"/>
      <c r="H340" s="309"/>
      <c r="I340" s="309"/>
    </row>
    <row r="341">
      <c r="D341" s="309"/>
      <c r="E341" s="309"/>
      <c r="F341" s="309"/>
      <c r="G341" s="309"/>
      <c r="H341" s="309"/>
      <c r="I341" s="309"/>
    </row>
    <row r="342">
      <c r="D342" s="309"/>
      <c r="E342" s="309"/>
      <c r="F342" s="309"/>
      <c r="G342" s="309"/>
      <c r="H342" s="309"/>
      <c r="I342" s="309"/>
    </row>
    <row r="343">
      <c r="D343" s="309"/>
      <c r="E343" s="309"/>
      <c r="F343" s="309"/>
      <c r="G343" s="309"/>
      <c r="H343" s="309"/>
      <c r="I343" s="309"/>
    </row>
    <row r="344">
      <c r="D344" s="309"/>
      <c r="E344" s="309"/>
      <c r="F344" s="309"/>
      <c r="G344" s="309"/>
      <c r="H344" s="309"/>
      <c r="I344" s="309"/>
    </row>
    <row r="345">
      <c r="D345" s="309"/>
      <c r="E345" s="309"/>
      <c r="F345" s="309"/>
      <c r="G345" s="309"/>
      <c r="H345" s="309"/>
      <c r="I345" s="309"/>
    </row>
    <row r="346">
      <c r="D346" s="309"/>
      <c r="E346" s="309"/>
      <c r="F346" s="309"/>
      <c r="G346" s="309"/>
      <c r="H346" s="309"/>
      <c r="I346" s="309"/>
    </row>
    <row r="347">
      <c r="D347" s="309"/>
      <c r="E347" s="309"/>
      <c r="F347" s="309"/>
      <c r="G347" s="309"/>
      <c r="H347" s="309"/>
      <c r="I347" s="309"/>
    </row>
    <row r="348">
      <c r="D348" s="309"/>
      <c r="E348" s="309"/>
      <c r="F348" s="309"/>
      <c r="G348" s="309"/>
      <c r="H348" s="309"/>
      <c r="I348" s="309"/>
    </row>
    <row r="349">
      <c r="D349" s="309"/>
      <c r="E349" s="309"/>
      <c r="F349" s="309"/>
      <c r="G349" s="309"/>
      <c r="H349" s="309"/>
      <c r="I349" s="309"/>
    </row>
    <row r="350">
      <c r="D350" s="309"/>
      <c r="E350" s="309"/>
      <c r="F350" s="309"/>
      <c r="G350" s="309"/>
      <c r="H350" s="309"/>
      <c r="I350" s="309"/>
    </row>
    <row r="351">
      <c r="D351" s="309"/>
      <c r="E351" s="309"/>
      <c r="F351" s="309"/>
      <c r="G351" s="309"/>
      <c r="H351" s="309"/>
      <c r="I351" s="309"/>
    </row>
    <row r="352">
      <c r="D352" s="309"/>
      <c r="E352" s="309"/>
      <c r="F352" s="309"/>
      <c r="G352" s="309"/>
      <c r="H352" s="309"/>
      <c r="I352" s="309"/>
    </row>
    <row r="353">
      <c r="D353" s="309"/>
      <c r="E353" s="309"/>
      <c r="F353" s="309"/>
      <c r="G353" s="309"/>
      <c r="H353" s="309"/>
      <c r="I353" s="309"/>
    </row>
    <row r="354">
      <c r="D354" s="309"/>
      <c r="E354" s="309"/>
      <c r="F354" s="309"/>
      <c r="G354" s="309"/>
      <c r="H354" s="309"/>
      <c r="I354" s="309"/>
    </row>
    <row r="355">
      <c r="D355" s="309"/>
      <c r="E355" s="309"/>
      <c r="F355" s="309"/>
      <c r="G355" s="309"/>
      <c r="H355" s="309"/>
      <c r="I355" s="309"/>
    </row>
    <row r="356">
      <c r="D356" s="309"/>
      <c r="E356" s="309"/>
      <c r="F356" s="309"/>
      <c r="G356" s="309"/>
      <c r="H356" s="309"/>
      <c r="I356" s="309"/>
    </row>
    <row r="357">
      <c r="D357" s="309"/>
      <c r="E357" s="309"/>
      <c r="F357" s="309"/>
      <c r="G357" s="309"/>
      <c r="H357" s="309"/>
      <c r="I357" s="309"/>
    </row>
    <row r="358">
      <c r="D358" s="309"/>
      <c r="E358" s="309"/>
      <c r="F358" s="309"/>
      <c r="G358" s="309"/>
      <c r="H358" s="309"/>
      <c r="I358" s="309"/>
    </row>
    <row r="359">
      <c r="D359" s="309"/>
      <c r="E359" s="309"/>
      <c r="F359" s="309"/>
      <c r="G359" s="309"/>
      <c r="H359" s="309"/>
      <c r="I359" s="309"/>
    </row>
    <row r="360">
      <c r="D360" s="309"/>
      <c r="E360" s="309"/>
      <c r="F360" s="309"/>
      <c r="G360" s="309"/>
      <c r="H360" s="309"/>
      <c r="I360" s="309"/>
    </row>
    <row r="361">
      <c r="D361" s="309"/>
      <c r="E361" s="309"/>
      <c r="F361" s="309"/>
      <c r="G361" s="309"/>
      <c r="H361" s="309"/>
      <c r="I361" s="309"/>
    </row>
    <row r="362">
      <c r="D362" s="309"/>
      <c r="E362" s="309"/>
      <c r="F362" s="309"/>
      <c r="G362" s="309"/>
      <c r="H362" s="309"/>
      <c r="I362" s="309"/>
    </row>
    <row r="363">
      <c r="D363" s="309"/>
      <c r="E363" s="309"/>
      <c r="F363" s="309"/>
      <c r="G363" s="309"/>
      <c r="H363" s="309"/>
      <c r="I363" s="309"/>
    </row>
    <row r="364">
      <c r="D364" s="309"/>
      <c r="E364" s="309"/>
      <c r="F364" s="309"/>
      <c r="G364" s="309"/>
      <c r="H364" s="309"/>
      <c r="I364" s="309"/>
    </row>
    <row r="365">
      <c r="D365" s="309"/>
      <c r="E365" s="309"/>
      <c r="F365" s="309"/>
      <c r="G365" s="309"/>
      <c r="H365" s="309"/>
      <c r="I365" s="309"/>
    </row>
    <row r="366">
      <c r="D366" s="309"/>
      <c r="E366" s="309"/>
      <c r="F366" s="309"/>
      <c r="G366" s="309"/>
      <c r="H366" s="309"/>
      <c r="I366" s="309"/>
    </row>
    <row r="367">
      <c r="D367" s="309"/>
      <c r="E367" s="309"/>
      <c r="F367" s="309"/>
      <c r="G367" s="309"/>
      <c r="H367" s="309"/>
      <c r="I367" s="309"/>
    </row>
    <row r="368">
      <c r="D368" s="309"/>
      <c r="E368" s="309"/>
      <c r="F368" s="309"/>
      <c r="G368" s="309"/>
      <c r="H368" s="309"/>
      <c r="I368" s="309"/>
    </row>
    <row r="369">
      <c r="D369" s="309"/>
      <c r="E369" s="309"/>
      <c r="F369" s="309"/>
      <c r="G369" s="309"/>
      <c r="H369" s="309"/>
      <c r="I369" s="309"/>
    </row>
    <row r="370">
      <c r="D370" s="309"/>
      <c r="E370" s="309"/>
      <c r="F370" s="309"/>
      <c r="G370" s="309"/>
      <c r="H370" s="309"/>
      <c r="I370" s="309"/>
    </row>
    <row r="371">
      <c r="D371" s="309"/>
      <c r="E371" s="309"/>
      <c r="F371" s="309"/>
      <c r="G371" s="309"/>
      <c r="H371" s="309"/>
      <c r="I371" s="309"/>
    </row>
    <row r="372">
      <c r="D372" s="309"/>
      <c r="E372" s="309"/>
      <c r="F372" s="309"/>
      <c r="G372" s="309"/>
      <c r="H372" s="309"/>
      <c r="I372" s="309"/>
    </row>
    <row r="373">
      <c r="D373" s="309"/>
      <c r="E373" s="309"/>
      <c r="F373" s="309"/>
      <c r="G373" s="309"/>
      <c r="H373" s="309"/>
      <c r="I373" s="309"/>
    </row>
    <row r="374">
      <c r="D374" s="309"/>
      <c r="E374" s="309"/>
      <c r="F374" s="309"/>
      <c r="G374" s="309"/>
      <c r="H374" s="309"/>
      <c r="I374" s="309"/>
    </row>
    <row r="375">
      <c r="D375" s="309"/>
      <c r="E375" s="309"/>
      <c r="F375" s="309"/>
      <c r="G375" s="309"/>
      <c r="H375" s="309"/>
      <c r="I375" s="309"/>
    </row>
    <row r="376">
      <c r="D376" s="309"/>
      <c r="E376" s="309"/>
      <c r="F376" s="309"/>
      <c r="G376" s="309"/>
      <c r="H376" s="309"/>
      <c r="I376" s="309"/>
    </row>
    <row r="377">
      <c r="D377" s="309"/>
      <c r="E377" s="309"/>
      <c r="F377" s="309"/>
      <c r="G377" s="309"/>
      <c r="H377" s="309"/>
      <c r="I377" s="309"/>
    </row>
    <row r="378">
      <c r="D378" s="309"/>
      <c r="E378" s="309"/>
      <c r="F378" s="309"/>
      <c r="G378" s="309"/>
      <c r="H378" s="309"/>
      <c r="I378" s="309"/>
    </row>
    <row r="379">
      <c r="D379" s="309"/>
      <c r="E379" s="309"/>
      <c r="F379" s="309"/>
      <c r="G379" s="309"/>
      <c r="H379" s="309"/>
      <c r="I379" s="309"/>
    </row>
    <row r="380">
      <c r="D380" s="309"/>
      <c r="E380" s="309"/>
      <c r="F380" s="309"/>
      <c r="G380" s="309"/>
      <c r="H380" s="309"/>
      <c r="I380" s="309"/>
    </row>
    <row r="381">
      <c r="D381" s="309"/>
      <c r="E381" s="309"/>
      <c r="F381" s="309"/>
      <c r="G381" s="309"/>
      <c r="H381" s="309"/>
      <c r="I381" s="309"/>
    </row>
    <row r="382">
      <c r="D382" s="309"/>
      <c r="E382" s="309"/>
      <c r="F382" s="309"/>
      <c r="G382" s="309"/>
      <c r="H382" s="309"/>
      <c r="I382" s="309"/>
    </row>
    <row r="383">
      <c r="D383" s="309"/>
      <c r="E383" s="309"/>
      <c r="F383" s="309"/>
      <c r="G383" s="309"/>
      <c r="H383" s="309"/>
      <c r="I383" s="309"/>
    </row>
    <row r="384">
      <c r="D384" s="309"/>
      <c r="E384" s="309"/>
      <c r="F384" s="309"/>
      <c r="G384" s="309"/>
      <c r="H384" s="309"/>
      <c r="I384" s="309"/>
    </row>
    <row r="385">
      <c r="D385" s="309"/>
      <c r="E385" s="309"/>
      <c r="F385" s="309"/>
      <c r="G385" s="309"/>
      <c r="H385" s="309"/>
      <c r="I385" s="309"/>
    </row>
    <row r="386">
      <c r="D386" s="309"/>
      <c r="E386" s="309"/>
      <c r="F386" s="309"/>
      <c r="G386" s="309"/>
      <c r="H386" s="309"/>
      <c r="I386" s="309"/>
    </row>
    <row r="387">
      <c r="D387" s="309"/>
      <c r="E387" s="309"/>
      <c r="F387" s="309"/>
      <c r="G387" s="309"/>
      <c r="H387" s="309"/>
      <c r="I387" s="309"/>
    </row>
    <row r="388">
      <c r="D388" s="309"/>
      <c r="E388" s="309"/>
      <c r="F388" s="309"/>
      <c r="G388" s="309"/>
      <c r="H388" s="309"/>
      <c r="I388" s="309"/>
    </row>
    <row r="389">
      <c r="D389" s="309"/>
      <c r="E389" s="309"/>
      <c r="F389" s="309"/>
      <c r="G389" s="309"/>
      <c r="H389" s="309"/>
      <c r="I389" s="309"/>
    </row>
    <row r="390">
      <c r="D390" s="309"/>
      <c r="E390" s="309"/>
      <c r="F390" s="309"/>
      <c r="G390" s="309"/>
      <c r="H390" s="309"/>
      <c r="I390" s="309"/>
    </row>
    <row r="391">
      <c r="D391" s="309"/>
      <c r="E391" s="309"/>
      <c r="F391" s="309"/>
      <c r="G391" s="309"/>
      <c r="H391" s="309"/>
      <c r="I391" s="309"/>
    </row>
    <row r="392">
      <c r="D392" s="309"/>
      <c r="E392" s="309"/>
      <c r="F392" s="309"/>
      <c r="G392" s="309"/>
      <c r="H392" s="309"/>
      <c r="I392" s="309"/>
    </row>
    <row r="393">
      <c r="D393" s="309"/>
      <c r="E393" s="309"/>
      <c r="F393" s="309"/>
      <c r="G393" s="309"/>
      <c r="H393" s="309"/>
      <c r="I393" s="309"/>
    </row>
    <row r="394">
      <c r="D394" s="309"/>
      <c r="E394" s="309"/>
      <c r="F394" s="309"/>
      <c r="G394" s="309"/>
      <c r="H394" s="309"/>
      <c r="I394" s="309"/>
    </row>
    <row r="395">
      <c r="D395" s="309"/>
      <c r="E395" s="309"/>
      <c r="F395" s="309"/>
      <c r="G395" s="309"/>
      <c r="H395" s="309"/>
      <c r="I395" s="309"/>
    </row>
    <row r="396">
      <c r="D396" s="309"/>
      <c r="E396" s="309"/>
      <c r="F396" s="309"/>
      <c r="G396" s="309"/>
      <c r="H396" s="309"/>
      <c r="I396" s="309"/>
    </row>
    <row r="397">
      <c r="D397" s="309"/>
      <c r="E397" s="309"/>
      <c r="F397" s="309"/>
      <c r="G397" s="309"/>
      <c r="H397" s="309"/>
      <c r="I397" s="309"/>
    </row>
    <row r="398">
      <c r="D398" s="309"/>
      <c r="E398" s="309"/>
      <c r="F398" s="309"/>
      <c r="G398" s="309"/>
      <c r="H398" s="309"/>
      <c r="I398" s="309"/>
    </row>
    <row r="399">
      <c r="D399" s="309"/>
      <c r="E399" s="309"/>
      <c r="F399" s="309"/>
      <c r="G399" s="309"/>
      <c r="H399" s="309"/>
      <c r="I399" s="309"/>
    </row>
    <row r="400">
      <c r="D400" s="309"/>
      <c r="E400" s="309"/>
      <c r="F400" s="309"/>
      <c r="G400" s="309"/>
      <c r="H400" s="309"/>
      <c r="I400" s="309"/>
    </row>
    <row r="401">
      <c r="D401" s="309"/>
      <c r="E401" s="309"/>
      <c r="F401" s="309"/>
      <c r="G401" s="309"/>
      <c r="H401" s="309"/>
      <c r="I401" s="309"/>
    </row>
    <row r="402">
      <c r="D402" s="309"/>
      <c r="E402" s="309"/>
      <c r="F402" s="309"/>
      <c r="G402" s="309"/>
      <c r="H402" s="309"/>
      <c r="I402" s="309"/>
    </row>
    <row r="403">
      <c r="D403" s="309"/>
      <c r="E403" s="309"/>
      <c r="F403" s="309"/>
      <c r="G403" s="309"/>
      <c r="H403" s="309"/>
      <c r="I403" s="309"/>
    </row>
    <row r="404">
      <c r="D404" s="309"/>
      <c r="E404" s="309"/>
      <c r="F404" s="309"/>
      <c r="G404" s="309"/>
      <c r="H404" s="309"/>
      <c r="I404" s="309"/>
    </row>
    <row r="405">
      <c r="D405" s="309"/>
      <c r="E405" s="309"/>
      <c r="F405" s="309"/>
      <c r="G405" s="309"/>
      <c r="H405" s="309"/>
      <c r="I405" s="309"/>
    </row>
    <row r="406">
      <c r="D406" s="309"/>
      <c r="E406" s="309"/>
      <c r="F406" s="309"/>
      <c r="G406" s="309"/>
      <c r="H406" s="309"/>
      <c r="I406" s="309"/>
    </row>
    <row r="407">
      <c r="D407" s="309"/>
      <c r="E407" s="309"/>
      <c r="F407" s="309"/>
      <c r="G407" s="309"/>
      <c r="H407" s="309"/>
      <c r="I407" s="309"/>
    </row>
    <row r="408">
      <c r="D408" s="309"/>
      <c r="E408" s="309"/>
      <c r="F408" s="309"/>
      <c r="G408" s="309"/>
      <c r="H408" s="309"/>
      <c r="I408" s="309"/>
    </row>
    <row r="409">
      <c r="D409" s="309"/>
      <c r="E409" s="309"/>
      <c r="F409" s="309"/>
      <c r="G409" s="309"/>
      <c r="H409" s="309"/>
      <c r="I409" s="309"/>
    </row>
    <row r="410">
      <c r="D410" s="309"/>
      <c r="E410" s="309"/>
      <c r="F410" s="309"/>
      <c r="G410" s="309"/>
      <c r="H410" s="309"/>
      <c r="I410" s="309"/>
    </row>
    <row r="411">
      <c r="D411" s="309"/>
      <c r="E411" s="309"/>
      <c r="F411" s="309"/>
      <c r="G411" s="309"/>
      <c r="H411" s="309"/>
      <c r="I411" s="309"/>
    </row>
    <row r="412">
      <c r="D412" s="309"/>
      <c r="E412" s="309"/>
      <c r="F412" s="309"/>
      <c r="G412" s="309"/>
      <c r="H412" s="309"/>
      <c r="I412" s="309"/>
    </row>
    <row r="413">
      <c r="D413" s="309"/>
      <c r="E413" s="309"/>
      <c r="F413" s="309"/>
      <c r="G413" s="309"/>
      <c r="H413" s="309"/>
      <c r="I413" s="309"/>
    </row>
    <row r="414">
      <c r="D414" s="309"/>
      <c r="E414" s="309"/>
      <c r="F414" s="309"/>
      <c r="G414" s="309"/>
      <c r="H414" s="309"/>
      <c r="I414" s="309"/>
    </row>
    <row r="415">
      <c r="D415" s="309"/>
      <c r="E415" s="309"/>
      <c r="F415" s="309"/>
      <c r="G415" s="309"/>
      <c r="H415" s="309"/>
      <c r="I415" s="309"/>
    </row>
    <row r="416">
      <c r="D416" s="309"/>
      <c r="E416" s="309"/>
      <c r="F416" s="309"/>
      <c r="G416" s="309"/>
      <c r="H416" s="309"/>
      <c r="I416" s="309"/>
    </row>
    <row r="417">
      <c r="D417" s="309"/>
      <c r="E417" s="309"/>
      <c r="F417" s="309"/>
      <c r="G417" s="309"/>
      <c r="H417" s="309"/>
      <c r="I417" s="309"/>
    </row>
    <row r="418">
      <c r="D418" s="309"/>
      <c r="E418" s="309"/>
      <c r="F418" s="309"/>
      <c r="G418" s="309"/>
      <c r="H418" s="309"/>
      <c r="I418" s="309"/>
    </row>
    <row r="419">
      <c r="D419" s="309"/>
      <c r="E419" s="309"/>
      <c r="F419" s="309"/>
      <c r="G419" s="309"/>
      <c r="H419" s="309"/>
      <c r="I419" s="309"/>
    </row>
    <row r="420">
      <c r="D420" s="309"/>
      <c r="E420" s="309"/>
      <c r="F420" s="309"/>
      <c r="G420" s="309"/>
      <c r="H420" s="309"/>
      <c r="I420" s="309"/>
    </row>
    <row r="421">
      <c r="D421" s="309"/>
      <c r="E421" s="309"/>
      <c r="F421" s="309"/>
      <c r="G421" s="309"/>
      <c r="H421" s="309"/>
      <c r="I421" s="309"/>
    </row>
    <row r="422">
      <c r="D422" s="309"/>
      <c r="E422" s="309"/>
      <c r="F422" s="309"/>
      <c r="G422" s="309"/>
      <c r="H422" s="309"/>
      <c r="I422" s="309"/>
    </row>
    <row r="423">
      <c r="D423" s="309"/>
      <c r="E423" s="309"/>
      <c r="F423" s="309"/>
      <c r="G423" s="309"/>
      <c r="H423" s="309"/>
      <c r="I423" s="309"/>
    </row>
    <row r="424">
      <c r="D424" s="309"/>
      <c r="E424" s="309"/>
      <c r="F424" s="309"/>
      <c r="G424" s="309"/>
      <c r="H424" s="309"/>
      <c r="I424" s="309"/>
    </row>
    <row r="425">
      <c r="D425" s="309"/>
      <c r="E425" s="309"/>
      <c r="F425" s="309"/>
      <c r="G425" s="309"/>
      <c r="H425" s="309"/>
      <c r="I425" s="309"/>
    </row>
    <row r="426">
      <c r="D426" s="309"/>
      <c r="E426" s="309"/>
      <c r="F426" s="309"/>
      <c r="G426" s="309"/>
      <c r="H426" s="309"/>
      <c r="I426" s="309"/>
    </row>
    <row r="427">
      <c r="D427" s="309"/>
      <c r="E427" s="309"/>
      <c r="F427" s="309"/>
      <c r="G427" s="309"/>
      <c r="H427" s="309"/>
      <c r="I427" s="309"/>
    </row>
    <row r="428">
      <c r="D428" s="309"/>
      <c r="E428" s="309"/>
      <c r="F428" s="309"/>
      <c r="G428" s="309"/>
      <c r="H428" s="309"/>
      <c r="I428" s="309"/>
    </row>
    <row r="429">
      <c r="D429" s="309"/>
      <c r="E429" s="309"/>
      <c r="F429" s="309"/>
      <c r="G429" s="309"/>
      <c r="H429" s="309"/>
      <c r="I429" s="309"/>
    </row>
    <row r="430">
      <c r="D430" s="309"/>
      <c r="E430" s="309"/>
      <c r="F430" s="309"/>
      <c r="G430" s="309"/>
      <c r="H430" s="309"/>
      <c r="I430" s="309"/>
    </row>
    <row r="431">
      <c r="D431" s="309"/>
      <c r="E431" s="309"/>
      <c r="F431" s="309"/>
      <c r="G431" s="309"/>
      <c r="H431" s="309"/>
      <c r="I431" s="309"/>
    </row>
    <row r="432">
      <c r="D432" s="309"/>
      <c r="E432" s="309"/>
      <c r="F432" s="309"/>
      <c r="G432" s="309"/>
      <c r="H432" s="309"/>
      <c r="I432" s="309"/>
    </row>
    <row r="433">
      <c r="D433" s="309"/>
      <c r="E433" s="309"/>
      <c r="F433" s="309"/>
      <c r="G433" s="309"/>
      <c r="H433" s="309"/>
      <c r="I433" s="309"/>
    </row>
    <row r="434">
      <c r="D434" s="309"/>
      <c r="E434" s="309"/>
      <c r="F434" s="309"/>
      <c r="G434" s="309"/>
      <c r="H434" s="309"/>
      <c r="I434" s="309"/>
    </row>
    <row r="435">
      <c r="D435" s="309"/>
      <c r="E435" s="309"/>
      <c r="F435" s="309"/>
      <c r="G435" s="309"/>
      <c r="H435" s="309"/>
      <c r="I435" s="309"/>
    </row>
    <row r="436">
      <c r="D436" s="309"/>
      <c r="E436" s="309"/>
      <c r="F436" s="309"/>
      <c r="G436" s="309"/>
      <c r="H436" s="309"/>
      <c r="I436" s="309"/>
    </row>
    <row r="437">
      <c r="D437" s="309"/>
      <c r="E437" s="309"/>
      <c r="F437" s="309"/>
      <c r="G437" s="309"/>
      <c r="H437" s="309"/>
      <c r="I437" s="309"/>
    </row>
    <row r="438">
      <c r="D438" s="309"/>
      <c r="E438" s="309"/>
      <c r="F438" s="309"/>
      <c r="G438" s="309"/>
      <c r="H438" s="309"/>
      <c r="I438" s="309"/>
    </row>
    <row r="439">
      <c r="D439" s="309"/>
      <c r="E439" s="309"/>
      <c r="F439" s="309"/>
      <c r="G439" s="309"/>
      <c r="H439" s="309"/>
      <c r="I439" s="309"/>
    </row>
    <row r="440">
      <c r="D440" s="309"/>
      <c r="E440" s="309"/>
      <c r="F440" s="309"/>
      <c r="G440" s="309"/>
      <c r="H440" s="309"/>
      <c r="I440" s="309"/>
    </row>
    <row r="441">
      <c r="D441" s="309"/>
      <c r="E441" s="309"/>
      <c r="F441" s="309"/>
      <c r="G441" s="309"/>
      <c r="H441" s="309"/>
      <c r="I441" s="309"/>
    </row>
    <row r="442">
      <c r="D442" s="309"/>
      <c r="E442" s="309"/>
      <c r="F442" s="309"/>
      <c r="G442" s="309"/>
      <c r="H442" s="309"/>
      <c r="I442" s="309"/>
    </row>
    <row r="443">
      <c r="D443" s="309"/>
      <c r="E443" s="309"/>
      <c r="F443" s="309"/>
      <c r="G443" s="309"/>
      <c r="H443" s="309"/>
      <c r="I443" s="309"/>
    </row>
    <row r="444">
      <c r="D444" s="309"/>
      <c r="E444" s="309"/>
      <c r="F444" s="309"/>
      <c r="G444" s="309"/>
      <c r="H444" s="309"/>
      <c r="I444" s="309"/>
    </row>
    <row r="445">
      <c r="D445" s="309"/>
      <c r="E445" s="309"/>
      <c r="F445" s="309"/>
      <c r="G445" s="309"/>
      <c r="H445" s="309"/>
      <c r="I445" s="309"/>
    </row>
    <row r="446">
      <c r="D446" s="309"/>
      <c r="E446" s="309"/>
      <c r="F446" s="309"/>
      <c r="G446" s="309"/>
      <c r="H446" s="309"/>
      <c r="I446" s="309"/>
    </row>
    <row r="447">
      <c r="D447" s="309"/>
      <c r="E447" s="309"/>
      <c r="F447" s="309"/>
      <c r="G447" s="309"/>
      <c r="H447" s="309"/>
      <c r="I447" s="309"/>
    </row>
    <row r="448">
      <c r="D448" s="309"/>
      <c r="E448" s="309"/>
      <c r="F448" s="309"/>
      <c r="G448" s="309"/>
      <c r="H448" s="309"/>
      <c r="I448" s="309"/>
    </row>
    <row r="449">
      <c r="D449" s="309"/>
      <c r="E449" s="309"/>
      <c r="F449" s="309"/>
      <c r="G449" s="309"/>
      <c r="H449" s="309"/>
      <c r="I449" s="309"/>
    </row>
    <row r="450">
      <c r="D450" s="309"/>
      <c r="E450" s="309"/>
      <c r="F450" s="309"/>
      <c r="G450" s="309"/>
      <c r="H450" s="309"/>
      <c r="I450" s="309"/>
    </row>
    <row r="451">
      <c r="D451" s="309"/>
      <c r="E451" s="309"/>
      <c r="F451" s="309"/>
      <c r="G451" s="309"/>
      <c r="H451" s="309"/>
      <c r="I451" s="309"/>
    </row>
    <row r="452">
      <c r="D452" s="309"/>
      <c r="E452" s="309"/>
      <c r="F452" s="309"/>
      <c r="G452" s="309"/>
      <c r="H452" s="309"/>
      <c r="I452" s="309"/>
    </row>
    <row r="453">
      <c r="D453" s="309"/>
      <c r="E453" s="309"/>
      <c r="F453" s="309"/>
      <c r="G453" s="309"/>
      <c r="H453" s="309"/>
      <c r="I453" s="309"/>
    </row>
    <row r="454">
      <c r="D454" s="309"/>
      <c r="E454" s="309"/>
      <c r="F454" s="309"/>
      <c r="G454" s="309"/>
      <c r="H454" s="309"/>
      <c r="I454" s="309"/>
    </row>
    <row r="455">
      <c r="D455" s="309"/>
      <c r="E455" s="309"/>
      <c r="F455" s="309"/>
      <c r="G455" s="309"/>
      <c r="H455" s="309"/>
      <c r="I455" s="309"/>
    </row>
    <row r="456">
      <c r="D456" s="309"/>
      <c r="E456" s="309"/>
      <c r="F456" s="309"/>
      <c r="G456" s="309"/>
      <c r="H456" s="309"/>
      <c r="I456" s="309"/>
    </row>
    <row r="457">
      <c r="D457" s="309"/>
      <c r="E457" s="309"/>
      <c r="F457" s="309"/>
      <c r="G457" s="309"/>
      <c r="H457" s="309"/>
      <c r="I457" s="309"/>
    </row>
    <row r="458">
      <c r="D458" s="309"/>
      <c r="E458" s="309"/>
      <c r="F458" s="309"/>
      <c r="G458" s="309"/>
      <c r="H458" s="309"/>
      <c r="I458" s="309"/>
    </row>
    <row r="459">
      <c r="D459" s="309"/>
      <c r="E459" s="309"/>
      <c r="F459" s="309"/>
      <c r="G459" s="309"/>
      <c r="H459" s="309"/>
      <c r="I459" s="309"/>
    </row>
    <row r="460">
      <c r="D460" s="309"/>
      <c r="E460" s="309"/>
      <c r="F460" s="309"/>
      <c r="G460" s="309"/>
      <c r="H460" s="309"/>
      <c r="I460" s="309"/>
    </row>
    <row r="461">
      <c r="D461" s="309"/>
      <c r="E461" s="309"/>
      <c r="F461" s="309"/>
      <c r="G461" s="309"/>
      <c r="H461" s="309"/>
      <c r="I461" s="309"/>
    </row>
    <row r="462">
      <c r="D462" s="309"/>
      <c r="E462" s="309"/>
      <c r="F462" s="309"/>
      <c r="G462" s="309"/>
      <c r="H462" s="309"/>
      <c r="I462" s="309"/>
    </row>
    <row r="463">
      <c r="D463" s="309"/>
      <c r="E463" s="309"/>
      <c r="F463" s="309"/>
      <c r="G463" s="309"/>
      <c r="H463" s="309"/>
      <c r="I463" s="309"/>
    </row>
    <row r="464">
      <c r="D464" s="309"/>
      <c r="E464" s="309"/>
      <c r="F464" s="309"/>
      <c r="G464" s="309"/>
      <c r="H464" s="309"/>
      <c r="I464" s="309"/>
    </row>
    <row r="465">
      <c r="D465" s="309"/>
      <c r="E465" s="309"/>
      <c r="F465" s="309"/>
      <c r="G465" s="309"/>
      <c r="H465" s="309"/>
      <c r="I465" s="309"/>
    </row>
    <row r="466">
      <c r="D466" s="309"/>
      <c r="E466" s="309"/>
      <c r="F466" s="309"/>
      <c r="G466" s="309"/>
      <c r="H466" s="309"/>
      <c r="I466" s="309"/>
    </row>
    <row r="467">
      <c r="D467" s="309"/>
      <c r="E467" s="309"/>
      <c r="F467" s="309"/>
      <c r="G467" s="309"/>
      <c r="H467" s="309"/>
      <c r="I467" s="309"/>
    </row>
    <row r="468">
      <c r="D468" s="309"/>
      <c r="E468" s="309"/>
      <c r="F468" s="309"/>
      <c r="G468" s="309"/>
      <c r="H468" s="309"/>
      <c r="I468" s="309"/>
    </row>
    <row r="469">
      <c r="D469" s="309"/>
      <c r="E469" s="309"/>
      <c r="F469" s="309"/>
      <c r="G469" s="309"/>
      <c r="H469" s="309"/>
      <c r="I469" s="309"/>
    </row>
    <row r="470">
      <c r="D470" s="309"/>
      <c r="E470" s="309"/>
      <c r="F470" s="309"/>
      <c r="G470" s="309"/>
      <c r="H470" s="309"/>
      <c r="I470" s="309"/>
    </row>
    <row r="471">
      <c r="D471" s="309"/>
      <c r="E471" s="309"/>
      <c r="F471" s="309"/>
      <c r="G471" s="309"/>
      <c r="H471" s="309"/>
      <c r="I471" s="309"/>
    </row>
    <row r="472">
      <c r="D472" s="309"/>
      <c r="E472" s="309"/>
      <c r="F472" s="309"/>
      <c r="G472" s="309"/>
      <c r="H472" s="309"/>
      <c r="I472" s="309"/>
    </row>
    <row r="473">
      <c r="D473" s="309"/>
      <c r="E473" s="309"/>
      <c r="F473" s="309"/>
      <c r="G473" s="309"/>
      <c r="H473" s="309"/>
      <c r="I473" s="309"/>
    </row>
    <row r="474">
      <c r="D474" s="309"/>
      <c r="E474" s="309"/>
      <c r="F474" s="309"/>
      <c r="G474" s="309"/>
      <c r="H474" s="309"/>
      <c r="I474" s="309"/>
    </row>
    <row r="475">
      <c r="D475" s="309"/>
      <c r="E475" s="309"/>
      <c r="F475" s="309"/>
      <c r="G475" s="309"/>
      <c r="H475" s="309"/>
      <c r="I475" s="309"/>
    </row>
    <row r="476">
      <c r="D476" s="309"/>
      <c r="E476" s="309"/>
      <c r="F476" s="309"/>
      <c r="G476" s="309"/>
      <c r="H476" s="309"/>
      <c r="I476" s="309"/>
    </row>
    <row r="477">
      <c r="D477" s="309"/>
      <c r="E477" s="309"/>
      <c r="F477" s="309"/>
      <c r="G477" s="309"/>
      <c r="H477" s="309"/>
      <c r="I477" s="309"/>
    </row>
    <row r="478">
      <c r="D478" s="309"/>
      <c r="E478" s="309"/>
      <c r="F478" s="309"/>
      <c r="G478" s="309"/>
      <c r="H478" s="309"/>
      <c r="I478" s="309"/>
    </row>
    <row r="479">
      <c r="D479" s="309"/>
      <c r="E479" s="309"/>
      <c r="F479" s="309"/>
      <c r="G479" s="309"/>
      <c r="H479" s="309"/>
      <c r="I479" s="309"/>
    </row>
    <row r="480">
      <c r="D480" s="309"/>
      <c r="E480" s="309"/>
      <c r="F480" s="309"/>
      <c r="G480" s="309"/>
      <c r="H480" s="309"/>
      <c r="I480" s="309"/>
    </row>
    <row r="481">
      <c r="D481" s="309"/>
      <c r="E481" s="309"/>
      <c r="F481" s="309"/>
      <c r="G481" s="309"/>
      <c r="H481" s="309"/>
      <c r="I481" s="309"/>
    </row>
    <row r="482">
      <c r="D482" s="309"/>
      <c r="E482" s="309"/>
      <c r="F482" s="309"/>
      <c r="G482" s="309"/>
      <c r="H482" s="309"/>
      <c r="I482" s="309"/>
    </row>
    <row r="483">
      <c r="D483" s="309"/>
      <c r="E483" s="309"/>
      <c r="F483" s="309"/>
      <c r="G483" s="309"/>
      <c r="H483" s="309"/>
      <c r="I483" s="309"/>
    </row>
    <row r="484">
      <c r="D484" s="309"/>
      <c r="E484" s="309"/>
      <c r="F484" s="309"/>
      <c r="G484" s="309"/>
      <c r="H484" s="309"/>
      <c r="I484" s="309"/>
    </row>
    <row r="485">
      <c r="D485" s="309"/>
      <c r="E485" s="309"/>
      <c r="F485" s="309"/>
      <c r="G485" s="309"/>
      <c r="H485" s="309"/>
      <c r="I485" s="309"/>
    </row>
    <row r="486">
      <c r="D486" s="309"/>
      <c r="E486" s="309"/>
      <c r="F486" s="309"/>
      <c r="G486" s="309"/>
      <c r="H486" s="309"/>
      <c r="I486" s="309"/>
    </row>
    <row r="487">
      <c r="D487" s="309"/>
      <c r="E487" s="309"/>
      <c r="F487" s="309"/>
      <c r="G487" s="309"/>
      <c r="H487" s="309"/>
      <c r="I487" s="309"/>
    </row>
    <row r="488">
      <c r="D488" s="309"/>
      <c r="E488" s="309"/>
      <c r="F488" s="309"/>
      <c r="G488" s="309"/>
      <c r="H488" s="309"/>
      <c r="I488" s="309"/>
    </row>
    <row r="489">
      <c r="D489" s="309"/>
      <c r="E489" s="309"/>
      <c r="F489" s="309"/>
      <c r="G489" s="309"/>
      <c r="H489" s="309"/>
      <c r="I489" s="309"/>
    </row>
    <row r="490">
      <c r="D490" s="309"/>
      <c r="E490" s="309"/>
      <c r="F490" s="309"/>
      <c r="G490" s="309"/>
      <c r="H490" s="309"/>
      <c r="I490" s="309"/>
    </row>
    <row r="491">
      <c r="D491" s="309"/>
      <c r="E491" s="309"/>
      <c r="F491" s="309"/>
      <c r="G491" s="309"/>
      <c r="H491" s="309"/>
      <c r="I491" s="309"/>
    </row>
    <row r="492">
      <c r="D492" s="309"/>
      <c r="E492" s="309"/>
      <c r="F492" s="309"/>
      <c r="G492" s="309"/>
      <c r="H492" s="309"/>
      <c r="I492" s="309"/>
    </row>
    <row r="493">
      <c r="D493" s="309"/>
      <c r="E493" s="309"/>
      <c r="F493" s="309"/>
      <c r="G493" s="309"/>
      <c r="H493" s="309"/>
      <c r="I493" s="309"/>
    </row>
    <row r="494">
      <c r="D494" s="309"/>
      <c r="E494" s="309"/>
      <c r="F494" s="309"/>
      <c r="G494" s="309"/>
      <c r="H494" s="309"/>
      <c r="I494" s="309"/>
    </row>
    <row r="495">
      <c r="D495" s="309"/>
      <c r="E495" s="309"/>
      <c r="F495" s="309"/>
      <c r="G495" s="309"/>
      <c r="H495" s="309"/>
      <c r="I495" s="309"/>
    </row>
    <row r="496">
      <c r="D496" s="309"/>
      <c r="E496" s="309"/>
      <c r="F496" s="309"/>
      <c r="G496" s="309"/>
      <c r="H496" s="309"/>
      <c r="I496" s="309"/>
    </row>
    <row r="497">
      <c r="D497" s="309"/>
      <c r="E497" s="309"/>
      <c r="F497" s="309"/>
      <c r="G497" s="309"/>
      <c r="H497" s="309"/>
      <c r="I497" s="309"/>
    </row>
    <row r="498">
      <c r="D498" s="309"/>
      <c r="E498" s="309"/>
      <c r="F498" s="309"/>
      <c r="G498" s="309"/>
      <c r="H498" s="309"/>
      <c r="I498" s="309"/>
    </row>
    <row r="499">
      <c r="D499" s="309"/>
      <c r="E499" s="309"/>
      <c r="F499" s="309"/>
      <c r="G499" s="309"/>
      <c r="H499" s="309"/>
      <c r="I499" s="309"/>
    </row>
    <row r="500">
      <c r="D500" s="309"/>
      <c r="E500" s="309"/>
      <c r="F500" s="309"/>
      <c r="G500" s="309"/>
      <c r="H500" s="309"/>
      <c r="I500" s="309"/>
    </row>
    <row r="501">
      <c r="D501" s="309"/>
      <c r="E501" s="309"/>
      <c r="F501" s="309"/>
      <c r="G501" s="309"/>
      <c r="H501" s="309"/>
      <c r="I501" s="309"/>
    </row>
    <row r="502">
      <c r="D502" s="309"/>
      <c r="E502" s="309"/>
      <c r="F502" s="309"/>
      <c r="G502" s="309"/>
      <c r="H502" s="309"/>
      <c r="I502" s="309"/>
    </row>
    <row r="503">
      <c r="D503" s="309"/>
      <c r="E503" s="309"/>
      <c r="F503" s="309"/>
      <c r="G503" s="309"/>
      <c r="H503" s="309"/>
      <c r="I503" s="309"/>
    </row>
    <row r="504">
      <c r="D504" s="309"/>
      <c r="E504" s="309"/>
      <c r="F504" s="309"/>
      <c r="G504" s="309"/>
      <c r="H504" s="309"/>
      <c r="I504" s="309"/>
    </row>
    <row r="505">
      <c r="D505" s="309"/>
      <c r="E505" s="309"/>
      <c r="F505" s="309"/>
      <c r="G505" s="309"/>
      <c r="H505" s="309"/>
      <c r="I505" s="309"/>
    </row>
    <row r="506">
      <c r="D506" s="309"/>
      <c r="E506" s="309"/>
      <c r="F506" s="309"/>
      <c r="G506" s="309"/>
      <c r="H506" s="309"/>
      <c r="I506" s="309"/>
    </row>
    <row r="507">
      <c r="D507" s="309"/>
      <c r="E507" s="309"/>
      <c r="F507" s="309"/>
      <c r="G507" s="309"/>
      <c r="H507" s="309"/>
      <c r="I507" s="309"/>
    </row>
    <row r="508">
      <c r="D508" s="309"/>
      <c r="E508" s="309"/>
      <c r="F508" s="309"/>
      <c r="G508" s="309"/>
      <c r="H508" s="309"/>
      <c r="I508" s="309"/>
    </row>
    <row r="509">
      <c r="D509" s="309"/>
      <c r="E509" s="309"/>
      <c r="F509" s="309"/>
      <c r="G509" s="309"/>
      <c r="H509" s="309"/>
      <c r="I509" s="309"/>
    </row>
    <row r="510">
      <c r="D510" s="309"/>
      <c r="E510" s="309"/>
      <c r="F510" s="309"/>
      <c r="G510" s="309"/>
      <c r="H510" s="309"/>
      <c r="I510" s="309"/>
    </row>
    <row r="511">
      <c r="D511" s="309"/>
      <c r="E511" s="309"/>
      <c r="F511" s="309"/>
      <c r="G511" s="309"/>
      <c r="H511" s="309"/>
      <c r="I511" s="309"/>
    </row>
    <row r="512">
      <c r="D512" s="309"/>
      <c r="E512" s="309"/>
      <c r="F512" s="309"/>
      <c r="G512" s="309"/>
      <c r="H512" s="309"/>
      <c r="I512" s="309"/>
    </row>
    <row r="513">
      <c r="D513" s="309"/>
      <c r="E513" s="309"/>
      <c r="F513" s="309"/>
      <c r="G513" s="309"/>
      <c r="H513" s="309"/>
      <c r="I513" s="309"/>
    </row>
    <row r="514">
      <c r="D514" s="309"/>
      <c r="E514" s="309"/>
      <c r="F514" s="309"/>
      <c r="G514" s="309"/>
      <c r="H514" s="309"/>
      <c r="I514" s="309"/>
    </row>
    <row r="515">
      <c r="D515" s="309"/>
      <c r="E515" s="309"/>
      <c r="F515" s="309"/>
      <c r="G515" s="309"/>
      <c r="H515" s="309"/>
      <c r="I515" s="309"/>
    </row>
    <row r="516">
      <c r="D516" s="309"/>
      <c r="E516" s="309"/>
      <c r="F516" s="309"/>
      <c r="G516" s="309"/>
      <c r="H516" s="309"/>
      <c r="I516" s="309"/>
    </row>
    <row r="517">
      <c r="D517" s="309"/>
      <c r="E517" s="309"/>
      <c r="F517" s="309"/>
      <c r="G517" s="309"/>
      <c r="H517" s="309"/>
      <c r="I517" s="309"/>
    </row>
    <row r="518">
      <c r="D518" s="309"/>
      <c r="E518" s="309"/>
      <c r="F518" s="309"/>
      <c r="G518" s="309"/>
      <c r="H518" s="309"/>
      <c r="I518" s="309"/>
    </row>
    <row r="519">
      <c r="D519" s="309"/>
      <c r="E519" s="309"/>
      <c r="F519" s="309"/>
      <c r="G519" s="309"/>
      <c r="H519" s="309"/>
      <c r="I519" s="309"/>
    </row>
    <row r="520">
      <c r="D520" s="309"/>
      <c r="E520" s="309"/>
      <c r="F520" s="309"/>
      <c r="G520" s="309"/>
      <c r="H520" s="309"/>
      <c r="I520" s="309"/>
    </row>
    <row r="521">
      <c r="D521" s="309"/>
      <c r="E521" s="309"/>
      <c r="F521" s="309"/>
      <c r="G521" s="309"/>
      <c r="H521" s="309"/>
      <c r="I521" s="309"/>
    </row>
    <row r="522">
      <c r="D522" s="309"/>
      <c r="E522" s="309"/>
      <c r="F522" s="309"/>
      <c r="G522" s="309"/>
      <c r="H522" s="309"/>
      <c r="I522" s="309"/>
    </row>
    <row r="523">
      <c r="D523" s="309"/>
      <c r="E523" s="309"/>
      <c r="F523" s="309"/>
      <c r="G523" s="309"/>
      <c r="H523" s="309"/>
      <c r="I523" s="309"/>
    </row>
    <row r="524">
      <c r="D524" s="309"/>
      <c r="E524" s="309"/>
      <c r="F524" s="309"/>
      <c r="G524" s="309"/>
      <c r="H524" s="309"/>
      <c r="I524" s="309"/>
    </row>
    <row r="525">
      <c r="D525" s="309"/>
      <c r="E525" s="309"/>
      <c r="F525" s="309"/>
      <c r="G525" s="309"/>
      <c r="H525" s="309"/>
      <c r="I525" s="309"/>
    </row>
    <row r="526">
      <c r="D526" s="309"/>
      <c r="E526" s="309"/>
      <c r="F526" s="309"/>
      <c r="G526" s="309"/>
      <c r="H526" s="309"/>
      <c r="I526" s="309"/>
    </row>
    <row r="527">
      <c r="D527" s="309"/>
      <c r="E527" s="309"/>
      <c r="F527" s="309"/>
      <c r="G527" s="309"/>
      <c r="H527" s="309"/>
      <c r="I527" s="309"/>
    </row>
    <row r="528">
      <c r="D528" s="309"/>
      <c r="E528" s="309"/>
      <c r="F528" s="309"/>
      <c r="G528" s="309"/>
      <c r="H528" s="309"/>
      <c r="I528" s="309"/>
    </row>
    <row r="529">
      <c r="D529" s="309"/>
      <c r="E529" s="309"/>
      <c r="F529" s="309"/>
      <c r="G529" s="309"/>
      <c r="H529" s="309"/>
      <c r="I529" s="309"/>
    </row>
    <row r="530">
      <c r="D530" s="309"/>
      <c r="E530" s="309"/>
      <c r="F530" s="309"/>
      <c r="G530" s="309"/>
      <c r="H530" s="309"/>
      <c r="I530" s="309"/>
    </row>
    <row r="531">
      <c r="D531" s="309"/>
      <c r="E531" s="309"/>
      <c r="F531" s="309"/>
      <c r="G531" s="309"/>
      <c r="H531" s="309"/>
      <c r="I531" s="309"/>
    </row>
    <row r="532">
      <c r="D532" s="309"/>
      <c r="E532" s="309"/>
      <c r="F532" s="309"/>
      <c r="G532" s="309"/>
      <c r="H532" s="309"/>
      <c r="I532" s="309"/>
    </row>
    <row r="533">
      <c r="D533" s="309"/>
      <c r="E533" s="309"/>
      <c r="F533" s="309"/>
      <c r="G533" s="309"/>
      <c r="H533" s="309"/>
      <c r="I533" s="309"/>
    </row>
    <row r="534">
      <c r="D534" s="309"/>
      <c r="E534" s="309"/>
      <c r="F534" s="309"/>
      <c r="G534" s="309"/>
      <c r="H534" s="309"/>
      <c r="I534" s="309"/>
    </row>
    <row r="535">
      <c r="D535" s="309"/>
      <c r="E535" s="309"/>
      <c r="F535" s="309"/>
      <c r="G535" s="309"/>
      <c r="H535" s="309"/>
      <c r="I535" s="309"/>
    </row>
    <row r="536">
      <c r="D536" s="309"/>
      <c r="E536" s="309"/>
      <c r="F536" s="309"/>
      <c r="G536" s="309"/>
      <c r="H536" s="309"/>
      <c r="I536" s="309"/>
    </row>
    <row r="537">
      <c r="D537" s="309"/>
      <c r="E537" s="309"/>
      <c r="F537" s="309"/>
      <c r="G537" s="309"/>
      <c r="H537" s="309"/>
      <c r="I537" s="309"/>
    </row>
    <row r="538">
      <c r="D538" s="309"/>
      <c r="E538" s="309"/>
      <c r="F538" s="309"/>
      <c r="G538" s="309"/>
      <c r="H538" s="309"/>
      <c r="I538" s="309"/>
    </row>
    <row r="539">
      <c r="D539" s="309"/>
      <c r="E539" s="309"/>
      <c r="F539" s="309"/>
      <c r="G539" s="309"/>
      <c r="H539" s="309"/>
      <c r="I539" s="309"/>
    </row>
    <row r="540">
      <c r="D540" s="309"/>
      <c r="E540" s="309"/>
      <c r="F540" s="309"/>
      <c r="G540" s="309"/>
      <c r="H540" s="309"/>
      <c r="I540" s="309"/>
    </row>
    <row r="541">
      <c r="D541" s="309"/>
      <c r="E541" s="309"/>
      <c r="F541" s="309"/>
      <c r="G541" s="309"/>
      <c r="H541" s="309"/>
      <c r="I541" s="309"/>
    </row>
    <row r="542">
      <c r="D542" s="309"/>
      <c r="E542" s="309"/>
      <c r="F542" s="309"/>
      <c r="G542" s="309"/>
      <c r="H542" s="309"/>
      <c r="I542" s="309"/>
    </row>
    <row r="543">
      <c r="D543" s="309"/>
      <c r="E543" s="309"/>
      <c r="F543" s="309"/>
      <c r="G543" s="309"/>
      <c r="H543" s="309"/>
      <c r="I543" s="309"/>
    </row>
    <row r="544">
      <c r="D544" s="309"/>
      <c r="E544" s="309"/>
      <c r="F544" s="309"/>
      <c r="G544" s="309"/>
      <c r="H544" s="309"/>
      <c r="I544" s="309"/>
    </row>
    <row r="545">
      <c r="D545" s="309"/>
      <c r="E545" s="309"/>
      <c r="F545" s="309"/>
      <c r="G545" s="309"/>
      <c r="H545" s="309"/>
      <c r="I545" s="309"/>
    </row>
    <row r="546">
      <c r="D546" s="309"/>
      <c r="E546" s="309"/>
      <c r="F546" s="309"/>
      <c r="G546" s="309"/>
      <c r="H546" s="309"/>
      <c r="I546" s="309"/>
    </row>
    <row r="547">
      <c r="D547" s="309"/>
      <c r="E547" s="309"/>
      <c r="F547" s="309"/>
      <c r="G547" s="309"/>
      <c r="H547" s="309"/>
      <c r="I547" s="309"/>
    </row>
    <row r="548">
      <c r="D548" s="309"/>
      <c r="E548" s="309"/>
      <c r="F548" s="309"/>
      <c r="G548" s="309"/>
      <c r="H548" s="309"/>
      <c r="I548" s="309"/>
    </row>
    <row r="549">
      <c r="D549" s="309"/>
      <c r="E549" s="309"/>
      <c r="F549" s="309"/>
      <c r="G549" s="309"/>
      <c r="H549" s="309"/>
      <c r="I549" s="309"/>
    </row>
    <row r="550">
      <c r="D550" s="309"/>
      <c r="E550" s="309"/>
      <c r="F550" s="309"/>
      <c r="G550" s="309"/>
      <c r="H550" s="309"/>
      <c r="I550" s="309"/>
    </row>
    <row r="551">
      <c r="D551" s="309"/>
      <c r="E551" s="309"/>
      <c r="F551" s="309"/>
      <c r="G551" s="309"/>
      <c r="H551" s="309"/>
      <c r="I551" s="309"/>
    </row>
    <row r="552">
      <c r="D552" s="309"/>
      <c r="E552" s="309"/>
      <c r="F552" s="309"/>
      <c r="G552" s="309"/>
      <c r="H552" s="309"/>
      <c r="I552" s="309"/>
    </row>
    <row r="553">
      <c r="D553" s="309"/>
      <c r="E553" s="309"/>
      <c r="F553" s="309"/>
      <c r="G553" s="309"/>
      <c r="H553" s="309"/>
      <c r="I553" s="309"/>
    </row>
    <row r="554">
      <c r="D554" s="309"/>
      <c r="E554" s="309"/>
      <c r="F554" s="309"/>
      <c r="G554" s="309"/>
      <c r="H554" s="309"/>
      <c r="I554" s="309"/>
    </row>
    <row r="555">
      <c r="D555" s="309"/>
      <c r="E555" s="309"/>
      <c r="F555" s="309"/>
      <c r="G555" s="309"/>
      <c r="H555" s="309"/>
      <c r="I555" s="309"/>
    </row>
    <row r="556">
      <c r="D556" s="309"/>
      <c r="E556" s="309"/>
      <c r="F556" s="309"/>
      <c r="G556" s="309"/>
      <c r="H556" s="309"/>
      <c r="I556" s="309"/>
    </row>
    <row r="557">
      <c r="D557" s="309"/>
      <c r="E557" s="309"/>
      <c r="F557" s="309"/>
      <c r="G557" s="309"/>
      <c r="H557" s="309"/>
      <c r="I557" s="309"/>
    </row>
    <row r="558">
      <c r="D558" s="309"/>
      <c r="E558" s="309"/>
      <c r="F558" s="309"/>
      <c r="G558" s="309"/>
      <c r="H558" s="309"/>
      <c r="I558" s="309"/>
    </row>
    <row r="559">
      <c r="D559" s="309"/>
      <c r="E559" s="309"/>
      <c r="F559" s="309"/>
      <c r="G559" s="309"/>
      <c r="H559" s="309"/>
      <c r="I559" s="309"/>
    </row>
    <row r="560">
      <c r="D560" s="309"/>
      <c r="E560" s="309"/>
      <c r="F560" s="309"/>
      <c r="G560" s="309"/>
      <c r="H560" s="309"/>
      <c r="I560" s="309"/>
    </row>
    <row r="561">
      <c r="D561" s="309"/>
      <c r="E561" s="309"/>
      <c r="F561" s="309"/>
      <c r="G561" s="309"/>
      <c r="H561" s="309"/>
      <c r="I561" s="309"/>
    </row>
    <row r="562">
      <c r="D562" s="309"/>
      <c r="E562" s="309"/>
      <c r="F562" s="309"/>
      <c r="G562" s="309"/>
      <c r="H562" s="309"/>
      <c r="I562" s="309"/>
    </row>
    <row r="563">
      <c r="D563" s="309"/>
      <c r="E563" s="309"/>
      <c r="F563" s="309"/>
      <c r="G563" s="309"/>
      <c r="H563" s="309"/>
      <c r="I563" s="309"/>
    </row>
    <row r="564">
      <c r="D564" s="309"/>
      <c r="E564" s="309"/>
      <c r="F564" s="309"/>
      <c r="G564" s="309"/>
      <c r="H564" s="309"/>
      <c r="I564" s="309"/>
    </row>
    <row r="565">
      <c r="D565" s="309"/>
      <c r="E565" s="309"/>
      <c r="F565" s="309"/>
      <c r="G565" s="309"/>
      <c r="H565" s="309"/>
      <c r="I565" s="309"/>
    </row>
    <row r="566">
      <c r="D566" s="309"/>
      <c r="E566" s="309"/>
      <c r="F566" s="309"/>
      <c r="G566" s="309"/>
      <c r="H566" s="309"/>
      <c r="I566" s="309"/>
    </row>
    <row r="567">
      <c r="D567" s="309"/>
      <c r="E567" s="309"/>
      <c r="F567" s="309"/>
      <c r="G567" s="309"/>
      <c r="H567" s="309"/>
      <c r="I567" s="309"/>
    </row>
    <row r="568">
      <c r="D568" s="309"/>
      <c r="E568" s="309"/>
      <c r="F568" s="309"/>
      <c r="G568" s="309"/>
      <c r="H568" s="309"/>
      <c r="I568" s="309"/>
    </row>
    <row r="569">
      <c r="D569" s="309"/>
      <c r="E569" s="309"/>
      <c r="F569" s="309"/>
      <c r="G569" s="309"/>
      <c r="H569" s="309"/>
      <c r="I569" s="309"/>
    </row>
    <row r="570">
      <c r="D570" s="309"/>
      <c r="E570" s="309"/>
      <c r="F570" s="309"/>
      <c r="G570" s="309"/>
      <c r="H570" s="309"/>
      <c r="I570" s="309"/>
    </row>
    <row r="571">
      <c r="D571" s="309"/>
      <c r="E571" s="309"/>
      <c r="F571" s="309"/>
      <c r="G571" s="309"/>
      <c r="H571" s="309"/>
      <c r="I571" s="309"/>
    </row>
    <row r="572">
      <c r="D572" s="309"/>
      <c r="E572" s="309"/>
      <c r="F572" s="309"/>
      <c r="G572" s="309"/>
      <c r="H572" s="309"/>
      <c r="I572" s="309"/>
    </row>
    <row r="573">
      <c r="D573" s="309"/>
      <c r="E573" s="309"/>
      <c r="F573" s="309"/>
      <c r="G573" s="309"/>
      <c r="H573" s="309"/>
      <c r="I573" s="309"/>
    </row>
    <row r="574">
      <c r="D574" s="309"/>
      <c r="E574" s="309"/>
      <c r="F574" s="309"/>
      <c r="G574" s="309"/>
      <c r="H574" s="309"/>
      <c r="I574" s="309"/>
    </row>
    <row r="575">
      <c r="D575" s="309"/>
      <c r="E575" s="309"/>
      <c r="F575" s="309"/>
      <c r="G575" s="309"/>
      <c r="H575" s="309"/>
      <c r="I575" s="309"/>
    </row>
    <row r="576">
      <c r="D576" s="309"/>
      <c r="E576" s="309"/>
      <c r="F576" s="309"/>
      <c r="G576" s="309"/>
      <c r="H576" s="309"/>
      <c r="I576" s="309"/>
    </row>
    <row r="577">
      <c r="D577" s="309"/>
      <c r="E577" s="309"/>
      <c r="F577" s="309"/>
      <c r="G577" s="309"/>
      <c r="H577" s="309"/>
      <c r="I577" s="309"/>
    </row>
    <row r="578">
      <c r="D578" s="309"/>
      <c r="E578" s="309"/>
      <c r="F578" s="309"/>
      <c r="G578" s="309"/>
      <c r="H578" s="309"/>
      <c r="I578" s="309"/>
    </row>
    <row r="579">
      <c r="D579" s="309"/>
      <c r="E579" s="309"/>
      <c r="F579" s="309"/>
      <c r="G579" s="309"/>
      <c r="H579" s="309"/>
      <c r="I579" s="309"/>
    </row>
    <row r="580">
      <c r="D580" s="309"/>
      <c r="E580" s="309"/>
      <c r="F580" s="309"/>
      <c r="G580" s="309"/>
      <c r="H580" s="309"/>
      <c r="I580" s="309"/>
    </row>
    <row r="581">
      <c r="D581" s="309"/>
      <c r="E581" s="309"/>
      <c r="F581" s="309"/>
      <c r="G581" s="309"/>
      <c r="H581" s="309"/>
      <c r="I581" s="309"/>
    </row>
    <row r="582">
      <c r="D582" s="309"/>
      <c r="E582" s="309"/>
      <c r="F582" s="309"/>
      <c r="G582" s="309"/>
      <c r="H582" s="309"/>
      <c r="I582" s="309"/>
    </row>
    <row r="583">
      <c r="D583" s="309"/>
      <c r="E583" s="309"/>
      <c r="F583" s="309"/>
      <c r="G583" s="309"/>
      <c r="H583" s="309"/>
      <c r="I583" s="309"/>
    </row>
    <row r="584">
      <c r="D584" s="309"/>
      <c r="E584" s="309"/>
      <c r="F584" s="309"/>
      <c r="G584" s="309"/>
      <c r="H584" s="309"/>
      <c r="I584" s="309"/>
    </row>
    <row r="585">
      <c r="D585" s="309"/>
      <c r="E585" s="309"/>
      <c r="F585" s="309"/>
      <c r="G585" s="309"/>
      <c r="H585" s="309"/>
      <c r="I585" s="309"/>
    </row>
    <row r="586">
      <c r="D586" s="309"/>
      <c r="E586" s="309"/>
      <c r="F586" s="309"/>
      <c r="G586" s="309"/>
      <c r="H586" s="309"/>
      <c r="I586" s="309"/>
    </row>
    <row r="587">
      <c r="D587" s="309"/>
      <c r="E587" s="309"/>
      <c r="F587" s="309"/>
      <c r="G587" s="309"/>
      <c r="H587" s="309"/>
      <c r="I587" s="309"/>
    </row>
    <row r="588">
      <c r="D588" s="309"/>
      <c r="E588" s="309"/>
      <c r="F588" s="309"/>
      <c r="G588" s="309"/>
      <c r="H588" s="309"/>
      <c r="I588" s="309"/>
    </row>
    <row r="589">
      <c r="D589" s="309"/>
      <c r="E589" s="309"/>
      <c r="F589" s="309"/>
      <c r="G589" s="309"/>
      <c r="H589" s="309"/>
      <c r="I589" s="309"/>
    </row>
    <row r="590">
      <c r="D590" s="309"/>
      <c r="E590" s="309"/>
      <c r="F590" s="309"/>
      <c r="G590" s="309"/>
      <c r="H590" s="309"/>
      <c r="I590" s="309"/>
    </row>
    <row r="591">
      <c r="D591" s="309"/>
      <c r="E591" s="309"/>
      <c r="F591" s="309"/>
      <c r="G591" s="309"/>
      <c r="H591" s="309"/>
      <c r="I591" s="309"/>
    </row>
    <row r="592">
      <c r="D592" s="309"/>
      <c r="E592" s="309"/>
      <c r="F592" s="309"/>
      <c r="G592" s="309"/>
      <c r="H592" s="309"/>
      <c r="I592" s="309"/>
    </row>
    <row r="593">
      <c r="D593" s="309"/>
      <c r="E593" s="309"/>
      <c r="F593" s="309"/>
      <c r="G593" s="309"/>
      <c r="H593" s="309"/>
      <c r="I593" s="309"/>
    </row>
    <row r="594">
      <c r="D594" s="309"/>
      <c r="E594" s="309"/>
      <c r="F594" s="309"/>
      <c r="G594" s="309"/>
      <c r="H594" s="309"/>
      <c r="I594" s="309"/>
    </row>
    <row r="595">
      <c r="D595" s="309"/>
      <c r="E595" s="309"/>
      <c r="F595" s="309"/>
      <c r="G595" s="309"/>
      <c r="H595" s="309"/>
      <c r="I595" s="309"/>
    </row>
    <row r="596">
      <c r="D596" s="309"/>
      <c r="E596" s="309"/>
      <c r="F596" s="309"/>
      <c r="G596" s="309"/>
      <c r="H596" s="309"/>
      <c r="I596" s="309"/>
    </row>
    <row r="597">
      <c r="D597" s="309"/>
      <c r="E597" s="309"/>
      <c r="F597" s="309"/>
      <c r="G597" s="309"/>
      <c r="H597" s="309"/>
      <c r="I597" s="309"/>
    </row>
    <row r="598">
      <c r="D598" s="309"/>
      <c r="E598" s="309"/>
      <c r="F598" s="309"/>
      <c r="G598" s="309"/>
      <c r="H598" s="309"/>
      <c r="I598" s="309"/>
    </row>
    <row r="599">
      <c r="D599" s="309"/>
      <c r="E599" s="309"/>
      <c r="F599" s="309"/>
      <c r="G599" s="309"/>
      <c r="H599" s="309"/>
      <c r="I599" s="309"/>
    </row>
    <row r="600">
      <c r="D600" s="309"/>
      <c r="E600" s="309"/>
      <c r="F600" s="309"/>
      <c r="G600" s="309"/>
      <c r="H600" s="309"/>
      <c r="I600" s="309"/>
    </row>
    <row r="601">
      <c r="D601" s="309"/>
      <c r="E601" s="309"/>
      <c r="F601" s="309"/>
      <c r="G601" s="309"/>
      <c r="H601" s="309"/>
      <c r="I601" s="309"/>
    </row>
    <row r="602">
      <c r="D602" s="309"/>
      <c r="E602" s="309"/>
      <c r="F602" s="309"/>
      <c r="G602" s="309"/>
      <c r="H602" s="309"/>
      <c r="I602" s="309"/>
    </row>
    <row r="603">
      <c r="D603" s="309"/>
      <c r="E603" s="309"/>
      <c r="F603" s="309"/>
      <c r="G603" s="309"/>
      <c r="H603" s="309"/>
      <c r="I603" s="309"/>
    </row>
    <row r="604">
      <c r="D604" s="309"/>
      <c r="E604" s="309"/>
      <c r="F604" s="309"/>
      <c r="G604" s="309"/>
      <c r="H604" s="309"/>
      <c r="I604" s="309"/>
    </row>
    <row r="605">
      <c r="D605" s="309"/>
      <c r="E605" s="309"/>
      <c r="F605" s="309"/>
      <c r="G605" s="309"/>
      <c r="H605" s="309"/>
      <c r="I605" s="309"/>
    </row>
    <row r="606">
      <c r="D606" s="309"/>
      <c r="E606" s="309"/>
      <c r="F606" s="309"/>
      <c r="G606" s="309"/>
      <c r="H606" s="309"/>
      <c r="I606" s="309"/>
    </row>
    <row r="607">
      <c r="D607" s="309"/>
      <c r="E607" s="309"/>
      <c r="F607" s="309"/>
      <c r="G607" s="309"/>
      <c r="H607" s="309"/>
      <c r="I607" s="309"/>
    </row>
    <row r="608">
      <c r="D608" s="309"/>
      <c r="E608" s="309"/>
      <c r="F608" s="309"/>
      <c r="G608" s="309"/>
      <c r="H608" s="309"/>
      <c r="I608" s="309"/>
    </row>
    <row r="609">
      <c r="D609" s="309"/>
      <c r="E609" s="309"/>
      <c r="F609" s="309"/>
      <c r="G609" s="309"/>
      <c r="H609" s="309"/>
      <c r="I609" s="309"/>
    </row>
    <row r="610">
      <c r="D610" s="309"/>
      <c r="E610" s="309"/>
      <c r="F610" s="309"/>
      <c r="G610" s="309"/>
      <c r="H610" s="309"/>
      <c r="I610" s="309"/>
    </row>
    <row r="611">
      <c r="D611" s="309"/>
      <c r="E611" s="309"/>
      <c r="F611" s="309"/>
      <c r="G611" s="309"/>
      <c r="H611" s="309"/>
      <c r="I611" s="309"/>
    </row>
    <row r="612">
      <c r="D612" s="309"/>
      <c r="E612" s="309"/>
      <c r="F612" s="309"/>
      <c r="G612" s="309"/>
      <c r="H612" s="309"/>
      <c r="I612" s="309"/>
    </row>
    <row r="613">
      <c r="D613" s="309"/>
      <c r="E613" s="309"/>
      <c r="F613" s="309"/>
      <c r="G613" s="309"/>
      <c r="H613" s="309"/>
      <c r="I613" s="309"/>
    </row>
    <row r="614">
      <c r="D614" s="309"/>
      <c r="E614" s="309"/>
      <c r="F614" s="309"/>
      <c r="G614" s="309"/>
      <c r="H614" s="309"/>
      <c r="I614" s="309"/>
    </row>
    <row r="615">
      <c r="D615" s="309"/>
      <c r="E615" s="309"/>
      <c r="F615" s="309"/>
      <c r="G615" s="309"/>
      <c r="H615" s="309"/>
      <c r="I615" s="309"/>
    </row>
    <row r="616">
      <c r="D616" s="309"/>
      <c r="E616" s="309"/>
      <c r="F616" s="309"/>
      <c r="G616" s="309"/>
      <c r="H616" s="309"/>
      <c r="I616" s="309"/>
    </row>
    <row r="617">
      <c r="D617" s="309"/>
      <c r="E617" s="309"/>
      <c r="F617" s="309"/>
      <c r="G617" s="309"/>
      <c r="H617" s="309"/>
      <c r="I617" s="309"/>
    </row>
    <row r="618">
      <c r="D618" s="309"/>
      <c r="E618" s="309"/>
      <c r="F618" s="309"/>
      <c r="G618" s="309"/>
      <c r="H618" s="309"/>
      <c r="I618" s="309"/>
    </row>
    <row r="619">
      <c r="D619" s="309"/>
      <c r="E619" s="309"/>
      <c r="F619" s="309"/>
      <c r="G619" s="309"/>
      <c r="H619" s="309"/>
      <c r="I619" s="309"/>
    </row>
    <row r="620">
      <c r="D620" s="309"/>
      <c r="E620" s="309"/>
      <c r="F620" s="309"/>
      <c r="G620" s="309"/>
      <c r="H620" s="309"/>
      <c r="I620" s="309"/>
    </row>
    <row r="621">
      <c r="D621" s="309"/>
      <c r="E621" s="309"/>
      <c r="F621" s="309"/>
      <c r="G621" s="309"/>
      <c r="H621" s="309"/>
      <c r="I621" s="309"/>
    </row>
    <row r="622">
      <c r="D622" s="309"/>
      <c r="E622" s="309"/>
      <c r="F622" s="309"/>
      <c r="G622" s="309"/>
      <c r="H622" s="309"/>
      <c r="I622" s="309"/>
    </row>
    <row r="623">
      <c r="D623" s="309"/>
      <c r="E623" s="309"/>
      <c r="F623" s="309"/>
      <c r="G623" s="309"/>
      <c r="H623" s="309"/>
      <c r="I623" s="309"/>
    </row>
    <row r="624">
      <c r="D624" s="309"/>
      <c r="E624" s="309"/>
      <c r="F624" s="309"/>
      <c r="G624" s="309"/>
      <c r="H624" s="309"/>
      <c r="I624" s="309"/>
    </row>
    <row r="625">
      <c r="D625" s="309"/>
      <c r="E625" s="309"/>
      <c r="F625" s="309"/>
      <c r="G625" s="309"/>
      <c r="H625" s="309"/>
      <c r="I625" s="309"/>
    </row>
    <row r="626">
      <c r="D626" s="309"/>
      <c r="E626" s="309"/>
      <c r="F626" s="309"/>
      <c r="G626" s="309"/>
      <c r="H626" s="309"/>
      <c r="I626" s="309"/>
    </row>
    <row r="627">
      <c r="D627" s="309"/>
      <c r="E627" s="309"/>
      <c r="F627" s="309"/>
      <c r="G627" s="309"/>
      <c r="H627" s="309"/>
      <c r="I627" s="309"/>
    </row>
    <row r="628">
      <c r="D628" s="309"/>
      <c r="E628" s="309"/>
      <c r="F628" s="309"/>
      <c r="G628" s="309"/>
      <c r="H628" s="309"/>
      <c r="I628" s="309"/>
    </row>
    <row r="629">
      <c r="D629" s="309"/>
      <c r="E629" s="309"/>
      <c r="F629" s="309"/>
      <c r="G629" s="309"/>
      <c r="H629" s="309"/>
      <c r="I629" s="309"/>
    </row>
    <row r="630">
      <c r="D630" s="309"/>
      <c r="E630" s="309"/>
      <c r="F630" s="309"/>
      <c r="G630" s="309"/>
      <c r="H630" s="309"/>
      <c r="I630" s="309"/>
    </row>
    <row r="631">
      <c r="D631" s="309"/>
      <c r="E631" s="309"/>
      <c r="F631" s="309"/>
      <c r="G631" s="309"/>
      <c r="H631" s="309"/>
      <c r="I631" s="309"/>
    </row>
    <row r="632">
      <c r="D632" s="309"/>
      <c r="E632" s="309"/>
      <c r="F632" s="309"/>
      <c r="G632" s="309"/>
      <c r="H632" s="309"/>
      <c r="I632" s="309"/>
    </row>
    <row r="633">
      <c r="D633" s="309"/>
      <c r="E633" s="309"/>
      <c r="F633" s="309"/>
      <c r="G633" s="309"/>
      <c r="H633" s="309"/>
      <c r="I633" s="309"/>
    </row>
    <row r="634">
      <c r="D634" s="309"/>
      <c r="E634" s="309"/>
      <c r="F634" s="309"/>
      <c r="G634" s="309"/>
      <c r="H634" s="309"/>
      <c r="I634" s="309"/>
    </row>
    <row r="635">
      <c r="D635" s="309"/>
      <c r="E635" s="309"/>
      <c r="F635" s="309"/>
      <c r="G635" s="309"/>
      <c r="H635" s="309"/>
      <c r="I635" s="309"/>
    </row>
    <row r="636">
      <c r="D636" s="309"/>
      <c r="E636" s="309"/>
      <c r="F636" s="309"/>
      <c r="G636" s="309"/>
      <c r="H636" s="309"/>
      <c r="I636" s="309"/>
    </row>
    <row r="637">
      <c r="D637" s="309"/>
      <c r="E637" s="309"/>
      <c r="F637" s="309"/>
      <c r="G637" s="309"/>
      <c r="H637" s="309"/>
      <c r="I637" s="309"/>
    </row>
    <row r="638">
      <c r="D638" s="309"/>
      <c r="E638" s="309"/>
      <c r="F638" s="309"/>
      <c r="G638" s="309"/>
      <c r="H638" s="309"/>
      <c r="I638" s="309"/>
    </row>
    <row r="639">
      <c r="D639" s="309"/>
      <c r="E639" s="309"/>
      <c r="F639" s="309"/>
      <c r="G639" s="309"/>
      <c r="H639" s="309"/>
      <c r="I639" s="309"/>
    </row>
    <row r="640">
      <c r="D640" s="309"/>
      <c r="E640" s="309"/>
      <c r="F640" s="309"/>
      <c r="G640" s="309"/>
      <c r="H640" s="309"/>
      <c r="I640" s="309"/>
    </row>
    <row r="641">
      <c r="D641" s="309"/>
      <c r="E641" s="309"/>
      <c r="F641" s="309"/>
      <c r="G641" s="309"/>
      <c r="H641" s="309"/>
      <c r="I641" s="309"/>
    </row>
    <row r="642">
      <c r="D642" s="309"/>
      <c r="E642" s="309"/>
      <c r="F642" s="309"/>
      <c r="G642" s="309"/>
      <c r="H642" s="309"/>
      <c r="I642" s="309"/>
    </row>
    <row r="643">
      <c r="D643" s="309"/>
      <c r="E643" s="309"/>
      <c r="F643" s="309"/>
      <c r="G643" s="309"/>
      <c r="H643" s="309"/>
      <c r="I643" s="309"/>
    </row>
    <row r="644">
      <c r="D644" s="309"/>
      <c r="E644" s="309"/>
      <c r="F644" s="309"/>
      <c r="G644" s="309"/>
      <c r="H644" s="309"/>
      <c r="I644" s="309"/>
    </row>
    <row r="645">
      <c r="D645" s="309"/>
      <c r="E645" s="309"/>
      <c r="F645" s="309"/>
      <c r="G645" s="309"/>
      <c r="H645" s="309"/>
      <c r="I645" s="309"/>
    </row>
    <row r="646">
      <c r="D646" s="309"/>
      <c r="E646" s="309"/>
      <c r="F646" s="309"/>
      <c r="G646" s="309"/>
      <c r="H646" s="309"/>
      <c r="I646" s="309"/>
    </row>
    <row r="647">
      <c r="D647" s="309"/>
      <c r="E647" s="309"/>
      <c r="F647" s="309"/>
      <c r="G647" s="309"/>
      <c r="H647" s="309"/>
      <c r="I647" s="309"/>
    </row>
    <row r="648">
      <c r="D648" s="309"/>
      <c r="E648" s="309"/>
      <c r="F648" s="309"/>
      <c r="G648" s="309"/>
      <c r="H648" s="309"/>
      <c r="I648" s="309"/>
    </row>
    <row r="649">
      <c r="D649" s="309"/>
      <c r="E649" s="309"/>
      <c r="F649" s="309"/>
      <c r="G649" s="309"/>
      <c r="H649" s="309"/>
      <c r="I649" s="309"/>
    </row>
    <row r="650">
      <c r="D650" s="309"/>
      <c r="E650" s="309"/>
      <c r="F650" s="309"/>
      <c r="G650" s="309"/>
      <c r="H650" s="309"/>
      <c r="I650" s="309"/>
    </row>
    <row r="651">
      <c r="D651" s="309"/>
      <c r="E651" s="309"/>
      <c r="F651" s="309"/>
      <c r="G651" s="309"/>
      <c r="H651" s="309"/>
      <c r="I651" s="309"/>
    </row>
    <row r="652">
      <c r="D652" s="309"/>
      <c r="E652" s="309"/>
      <c r="F652" s="309"/>
      <c r="G652" s="309"/>
      <c r="H652" s="309"/>
      <c r="I652" s="309"/>
    </row>
    <row r="653">
      <c r="D653" s="309"/>
      <c r="E653" s="309"/>
      <c r="F653" s="309"/>
      <c r="G653" s="309"/>
      <c r="H653" s="309"/>
      <c r="I653" s="309"/>
    </row>
    <row r="654">
      <c r="D654" s="309"/>
      <c r="E654" s="309"/>
      <c r="F654" s="309"/>
      <c r="G654" s="309"/>
      <c r="H654" s="309"/>
      <c r="I654" s="309"/>
    </row>
    <row r="655">
      <c r="D655" s="309"/>
      <c r="E655" s="309"/>
      <c r="F655" s="309"/>
      <c r="G655" s="309"/>
      <c r="H655" s="309"/>
      <c r="I655" s="309"/>
    </row>
    <row r="656">
      <c r="D656" s="309"/>
      <c r="E656" s="309"/>
      <c r="F656" s="309"/>
      <c r="G656" s="309"/>
      <c r="H656" s="309"/>
      <c r="I656" s="309"/>
    </row>
    <row r="657">
      <c r="D657" s="309"/>
      <c r="E657" s="309"/>
      <c r="F657" s="309"/>
      <c r="G657" s="309"/>
      <c r="H657" s="309"/>
      <c r="I657" s="309"/>
    </row>
    <row r="658">
      <c r="D658" s="309"/>
      <c r="E658" s="309"/>
      <c r="F658" s="309"/>
      <c r="G658" s="309"/>
      <c r="H658" s="309"/>
      <c r="I658" s="309"/>
    </row>
    <row r="659">
      <c r="D659" s="309"/>
      <c r="E659" s="309"/>
      <c r="F659" s="309"/>
      <c r="G659" s="309"/>
      <c r="H659" s="309"/>
      <c r="I659" s="309"/>
    </row>
    <row r="660">
      <c r="D660" s="309"/>
      <c r="E660" s="309"/>
      <c r="F660" s="309"/>
      <c r="G660" s="309"/>
      <c r="H660" s="309"/>
      <c r="I660" s="309"/>
    </row>
    <row r="661">
      <c r="D661" s="309"/>
      <c r="E661" s="309"/>
      <c r="F661" s="309"/>
      <c r="G661" s="309"/>
      <c r="H661" s="309"/>
      <c r="I661" s="309"/>
    </row>
    <row r="662">
      <c r="D662" s="309"/>
      <c r="E662" s="309"/>
      <c r="F662" s="309"/>
      <c r="G662" s="309"/>
      <c r="H662" s="309"/>
      <c r="I662" s="309"/>
    </row>
    <row r="663">
      <c r="D663" s="309"/>
      <c r="E663" s="309"/>
      <c r="F663" s="309"/>
      <c r="G663" s="309"/>
      <c r="H663" s="309"/>
      <c r="I663" s="309"/>
    </row>
    <row r="664">
      <c r="D664" s="309"/>
      <c r="E664" s="309"/>
      <c r="F664" s="309"/>
      <c r="G664" s="309"/>
      <c r="H664" s="309"/>
      <c r="I664" s="309"/>
    </row>
    <row r="665">
      <c r="D665" s="309"/>
      <c r="E665" s="309"/>
      <c r="F665" s="309"/>
      <c r="G665" s="309"/>
      <c r="H665" s="309"/>
      <c r="I665" s="309"/>
    </row>
    <row r="666">
      <c r="D666" s="309"/>
      <c r="E666" s="309"/>
      <c r="F666" s="309"/>
      <c r="G666" s="309"/>
      <c r="H666" s="309"/>
      <c r="I666" s="309"/>
    </row>
    <row r="667">
      <c r="D667" s="309"/>
      <c r="E667" s="309"/>
      <c r="F667" s="309"/>
      <c r="G667" s="309"/>
      <c r="H667" s="309"/>
      <c r="I667" s="309"/>
    </row>
    <row r="668">
      <c r="D668" s="309"/>
      <c r="E668" s="309"/>
      <c r="F668" s="309"/>
      <c r="G668" s="309"/>
      <c r="H668" s="309"/>
      <c r="I668" s="309"/>
    </row>
    <row r="669">
      <c r="D669" s="309"/>
      <c r="E669" s="309"/>
      <c r="F669" s="309"/>
      <c r="G669" s="309"/>
      <c r="H669" s="309"/>
      <c r="I669" s="309"/>
    </row>
    <row r="670">
      <c r="D670" s="309"/>
      <c r="E670" s="309"/>
      <c r="F670" s="309"/>
      <c r="G670" s="309"/>
      <c r="H670" s="309"/>
      <c r="I670" s="309"/>
    </row>
    <row r="671">
      <c r="D671" s="309"/>
      <c r="E671" s="309"/>
      <c r="F671" s="309"/>
      <c r="G671" s="309"/>
      <c r="H671" s="309"/>
      <c r="I671" s="309"/>
    </row>
    <row r="672">
      <c r="D672" s="309"/>
      <c r="E672" s="309"/>
      <c r="F672" s="309"/>
      <c r="G672" s="309"/>
      <c r="H672" s="309"/>
      <c r="I672" s="309"/>
    </row>
    <row r="673">
      <c r="D673" s="309"/>
      <c r="E673" s="309"/>
      <c r="F673" s="309"/>
      <c r="G673" s="309"/>
      <c r="H673" s="309"/>
      <c r="I673" s="309"/>
    </row>
    <row r="674">
      <c r="D674" s="309"/>
      <c r="E674" s="309"/>
      <c r="F674" s="309"/>
      <c r="G674" s="309"/>
      <c r="H674" s="309"/>
      <c r="I674" s="309"/>
    </row>
    <row r="675">
      <c r="D675" s="309"/>
      <c r="E675" s="309"/>
      <c r="F675" s="309"/>
      <c r="G675" s="309"/>
      <c r="H675" s="309"/>
      <c r="I675" s="309"/>
    </row>
    <row r="676">
      <c r="D676" s="309"/>
      <c r="E676" s="309"/>
      <c r="F676" s="309"/>
      <c r="G676" s="309"/>
      <c r="H676" s="309"/>
      <c r="I676" s="309"/>
    </row>
    <row r="677">
      <c r="D677" s="309"/>
      <c r="E677" s="309"/>
      <c r="F677" s="309"/>
      <c r="G677" s="309"/>
      <c r="H677" s="309"/>
      <c r="I677" s="309"/>
    </row>
    <row r="678">
      <c r="D678" s="309"/>
      <c r="E678" s="309"/>
      <c r="F678" s="309"/>
      <c r="G678" s="309"/>
      <c r="H678" s="309"/>
      <c r="I678" s="309"/>
    </row>
    <row r="679">
      <c r="D679" s="309"/>
      <c r="E679" s="309"/>
      <c r="F679" s="309"/>
      <c r="G679" s="309"/>
      <c r="H679" s="309"/>
      <c r="I679" s="309"/>
    </row>
    <row r="680">
      <c r="D680" s="309"/>
      <c r="E680" s="309"/>
      <c r="F680" s="309"/>
      <c r="G680" s="309"/>
      <c r="H680" s="309"/>
      <c r="I680" s="309"/>
    </row>
    <row r="681">
      <c r="D681" s="309"/>
      <c r="E681" s="309"/>
      <c r="F681" s="309"/>
      <c r="G681" s="309"/>
      <c r="H681" s="309"/>
      <c r="I681" s="309"/>
    </row>
    <row r="682">
      <c r="D682" s="309"/>
      <c r="E682" s="309"/>
      <c r="F682" s="309"/>
      <c r="G682" s="309"/>
      <c r="H682" s="309"/>
      <c r="I682" s="309"/>
    </row>
    <row r="683">
      <c r="D683" s="309"/>
      <c r="E683" s="309"/>
      <c r="F683" s="309"/>
      <c r="G683" s="309"/>
      <c r="H683" s="309"/>
      <c r="I683" s="309"/>
    </row>
    <row r="684">
      <c r="D684" s="309"/>
      <c r="E684" s="309"/>
      <c r="F684" s="309"/>
      <c r="G684" s="309"/>
      <c r="H684" s="309"/>
      <c r="I684" s="309"/>
    </row>
    <row r="685">
      <c r="D685" s="309"/>
      <c r="E685" s="309"/>
      <c r="F685" s="309"/>
      <c r="G685" s="309"/>
      <c r="H685" s="309"/>
      <c r="I685" s="309"/>
    </row>
    <row r="686">
      <c r="D686" s="309"/>
      <c r="E686" s="309"/>
      <c r="F686" s="309"/>
      <c r="G686" s="309"/>
      <c r="H686" s="309"/>
      <c r="I686" s="309"/>
    </row>
    <row r="687">
      <c r="D687" s="309"/>
      <c r="E687" s="309"/>
      <c r="F687" s="309"/>
      <c r="G687" s="309"/>
      <c r="H687" s="309"/>
      <c r="I687" s="309"/>
    </row>
    <row r="688">
      <c r="D688" s="309"/>
      <c r="E688" s="309"/>
      <c r="F688" s="309"/>
      <c r="G688" s="309"/>
      <c r="H688" s="309"/>
      <c r="I688" s="309"/>
    </row>
    <row r="689">
      <c r="D689" s="309"/>
      <c r="E689" s="309"/>
      <c r="F689" s="309"/>
      <c r="G689" s="309"/>
      <c r="H689" s="309"/>
      <c r="I689" s="309"/>
    </row>
    <row r="690">
      <c r="D690" s="309"/>
      <c r="E690" s="309"/>
      <c r="F690" s="309"/>
      <c r="G690" s="309"/>
      <c r="H690" s="309"/>
      <c r="I690" s="309"/>
    </row>
    <row r="691">
      <c r="D691" s="309"/>
      <c r="E691" s="309"/>
      <c r="F691" s="309"/>
      <c r="G691" s="309"/>
      <c r="H691" s="309"/>
      <c r="I691" s="309"/>
    </row>
    <row r="692">
      <c r="D692" s="309"/>
      <c r="E692" s="309"/>
      <c r="F692" s="309"/>
      <c r="G692" s="309"/>
      <c r="H692" s="309"/>
      <c r="I692" s="309"/>
    </row>
    <row r="693">
      <c r="D693" s="309"/>
      <c r="E693" s="309"/>
      <c r="F693" s="309"/>
      <c r="G693" s="309"/>
      <c r="H693" s="309"/>
      <c r="I693" s="309"/>
    </row>
    <row r="694">
      <c r="D694" s="309"/>
      <c r="E694" s="309"/>
      <c r="F694" s="309"/>
      <c r="G694" s="309"/>
      <c r="H694" s="309"/>
      <c r="I694" s="309"/>
    </row>
    <row r="695">
      <c r="D695" s="309"/>
      <c r="E695" s="309"/>
      <c r="F695" s="309"/>
      <c r="G695" s="309"/>
      <c r="H695" s="309"/>
      <c r="I695" s="309"/>
    </row>
    <row r="696">
      <c r="D696" s="309"/>
      <c r="E696" s="309"/>
      <c r="F696" s="309"/>
      <c r="G696" s="309"/>
      <c r="H696" s="309"/>
      <c r="I696" s="309"/>
    </row>
    <row r="697">
      <c r="D697" s="309"/>
      <c r="E697" s="309"/>
      <c r="F697" s="309"/>
      <c r="G697" s="309"/>
      <c r="H697" s="309"/>
      <c r="I697" s="309"/>
    </row>
    <row r="698">
      <c r="D698" s="309"/>
      <c r="E698" s="309"/>
      <c r="F698" s="309"/>
      <c r="G698" s="309"/>
      <c r="H698" s="309"/>
      <c r="I698" s="309"/>
    </row>
    <row r="699">
      <c r="D699" s="309"/>
      <c r="E699" s="309"/>
      <c r="F699" s="309"/>
      <c r="G699" s="309"/>
      <c r="H699" s="309"/>
      <c r="I699" s="309"/>
    </row>
    <row r="700">
      <c r="D700" s="309"/>
      <c r="E700" s="309"/>
      <c r="F700" s="309"/>
      <c r="G700" s="309"/>
      <c r="H700" s="309"/>
      <c r="I700" s="309"/>
    </row>
    <row r="701">
      <c r="D701" s="309"/>
      <c r="E701" s="309"/>
      <c r="F701" s="309"/>
      <c r="G701" s="309"/>
      <c r="H701" s="309"/>
      <c r="I701" s="309"/>
    </row>
    <row r="702">
      <c r="D702" s="309"/>
      <c r="E702" s="309"/>
      <c r="F702" s="309"/>
      <c r="G702" s="309"/>
      <c r="H702" s="309"/>
      <c r="I702" s="309"/>
    </row>
    <row r="703">
      <c r="D703" s="309"/>
      <c r="E703" s="309"/>
      <c r="F703" s="309"/>
      <c r="G703" s="309"/>
      <c r="H703" s="309"/>
      <c r="I703" s="309"/>
    </row>
    <row r="704">
      <c r="D704" s="309"/>
      <c r="E704" s="309"/>
      <c r="F704" s="309"/>
      <c r="G704" s="309"/>
      <c r="H704" s="309"/>
      <c r="I704" s="309"/>
    </row>
    <row r="705">
      <c r="D705" s="309"/>
      <c r="E705" s="309"/>
      <c r="F705" s="309"/>
      <c r="G705" s="309"/>
      <c r="H705" s="309"/>
      <c r="I705" s="309"/>
    </row>
    <row r="706">
      <c r="D706" s="309"/>
      <c r="E706" s="309"/>
      <c r="F706" s="309"/>
      <c r="G706" s="309"/>
      <c r="H706" s="309"/>
      <c r="I706" s="309"/>
    </row>
    <row r="707">
      <c r="D707" s="309"/>
      <c r="E707" s="309"/>
      <c r="F707" s="309"/>
      <c r="G707" s="309"/>
      <c r="H707" s="309"/>
      <c r="I707" s="309"/>
    </row>
    <row r="708">
      <c r="D708" s="309"/>
      <c r="E708" s="309"/>
      <c r="F708" s="309"/>
      <c r="G708" s="309"/>
      <c r="H708" s="309"/>
      <c r="I708" s="309"/>
    </row>
    <row r="709">
      <c r="D709" s="309"/>
      <c r="E709" s="309"/>
      <c r="F709" s="309"/>
      <c r="G709" s="309"/>
      <c r="H709" s="309"/>
      <c r="I709" s="309"/>
    </row>
    <row r="710">
      <c r="D710" s="309"/>
      <c r="E710" s="309"/>
      <c r="F710" s="309"/>
      <c r="G710" s="309"/>
      <c r="H710" s="309"/>
      <c r="I710" s="309"/>
    </row>
    <row r="711">
      <c r="D711" s="309"/>
      <c r="E711" s="309"/>
      <c r="F711" s="309"/>
      <c r="G711" s="309"/>
      <c r="H711" s="309"/>
      <c r="I711" s="309"/>
    </row>
    <row r="712">
      <c r="D712" s="309"/>
      <c r="E712" s="309"/>
      <c r="F712" s="309"/>
      <c r="G712" s="309"/>
      <c r="H712" s="309"/>
      <c r="I712" s="309"/>
    </row>
    <row r="713">
      <c r="D713" s="309"/>
      <c r="E713" s="309"/>
      <c r="F713" s="309"/>
      <c r="G713" s="309"/>
      <c r="H713" s="309"/>
      <c r="I713" s="309"/>
    </row>
    <row r="714">
      <c r="D714" s="309"/>
      <c r="E714" s="309"/>
      <c r="F714" s="309"/>
      <c r="G714" s="309"/>
      <c r="H714" s="309"/>
      <c r="I714" s="309"/>
    </row>
    <row r="715">
      <c r="D715" s="309"/>
      <c r="E715" s="309"/>
      <c r="F715" s="309"/>
      <c r="G715" s="309"/>
      <c r="H715" s="309"/>
      <c r="I715" s="309"/>
    </row>
    <row r="716">
      <c r="D716" s="309"/>
      <c r="E716" s="309"/>
      <c r="F716" s="309"/>
      <c r="G716" s="309"/>
      <c r="H716" s="309"/>
      <c r="I716" s="309"/>
    </row>
    <row r="717">
      <c r="D717" s="309"/>
      <c r="E717" s="309"/>
      <c r="F717" s="309"/>
      <c r="G717" s="309"/>
      <c r="H717" s="309"/>
      <c r="I717" s="309"/>
    </row>
    <row r="718">
      <c r="D718" s="309"/>
      <c r="E718" s="309"/>
      <c r="F718" s="309"/>
      <c r="G718" s="309"/>
      <c r="H718" s="309"/>
      <c r="I718" s="309"/>
    </row>
    <row r="719">
      <c r="D719" s="309"/>
      <c r="E719" s="309"/>
      <c r="F719" s="309"/>
      <c r="G719" s="309"/>
      <c r="H719" s="309"/>
      <c r="I719" s="309"/>
    </row>
    <row r="720">
      <c r="D720" s="309"/>
      <c r="E720" s="309"/>
      <c r="F720" s="309"/>
      <c r="G720" s="309"/>
      <c r="H720" s="309"/>
      <c r="I720" s="309"/>
    </row>
    <row r="721">
      <c r="D721" s="309"/>
      <c r="E721" s="309"/>
      <c r="F721" s="309"/>
      <c r="G721" s="309"/>
      <c r="H721" s="309"/>
      <c r="I721" s="309"/>
    </row>
    <row r="722">
      <c r="D722" s="309"/>
      <c r="E722" s="309"/>
      <c r="F722" s="309"/>
      <c r="G722" s="309"/>
      <c r="H722" s="309"/>
      <c r="I722" s="309"/>
    </row>
    <row r="723">
      <c r="D723" s="309"/>
      <c r="E723" s="309"/>
      <c r="F723" s="309"/>
      <c r="G723" s="309"/>
      <c r="H723" s="309"/>
      <c r="I723" s="309"/>
    </row>
    <row r="724">
      <c r="D724" s="309"/>
      <c r="E724" s="309"/>
      <c r="F724" s="309"/>
      <c r="G724" s="309"/>
      <c r="H724" s="309"/>
      <c r="I724" s="309"/>
    </row>
    <row r="725">
      <c r="D725" s="309"/>
      <c r="E725" s="309"/>
      <c r="F725" s="309"/>
      <c r="G725" s="309"/>
      <c r="H725" s="309"/>
      <c r="I725" s="309"/>
    </row>
    <row r="726">
      <c r="D726" s="309"/>
      <c r="E726" s="309"/>
      <c r="F726" s="309"/>
      <c r="G726" s="309"/>
      <c r="H726" s="309"/>
      <c r="I726" s="309"/>
    </row>
    <row r="727">
      <c r="D727" s="309"/>
      <c r="E727" s="309"/>
      <c r="F727" s="309"/>
      <c r="G727" s="309"/>
      <c r="H727" s="309"/>
      <c r="I727" s="309"/>
    </row>
    <row r="728">
      <c r="D728" s="309"/>
      <c r="E728" s="309"/>
      <c r="F728" s="309"/>
      <c r="G728" s="309"/>
      <c r="H728" s="309"/>
      <c r="I728" s="309"/>
    </row>
    <row r="729">
      <c r="D729" s="309"/>
      <c r="E729" s="309"/>
      <c r="F729" s="309"/>
      <c r="G729" s="309"/>
      <c r="H729" s="309"/>
      <c r="I729" s="309"/>
    </row>
    <row r="730">
      <c r="D730" s="309"/>
      <c r="E730" s="309"/>
      <c r="F730" s="309"/>
      <c r="G730" s="309"/>
      <c r="H730" s="309"/>
      <c r="I730" s="309"/>
    </row>
    <row r="731">
      <c r="D731" s="309"/>
      <c r="E731" s="309"/>
      <c r="F731" s="309"/>
      <c r="G731" s="309"/>
      <c r="H731" s="309"/>
      <c r="I731" s="309"/>
    </row>
    <row r="732">
      <c r="D732" s="309"/>
      <c r="E732" s="309"/>
      <c r="F732" s="309"/>
      <c r="G732" s="309"/>
      <c r="H732" s="309"/>
      <c r="I732" s="309"/>
    </row>
    <row r="733">
      <c r="D733" s="309"/>
      <c r="E733" s="309"/>
      <c r="F733" s="309"/>
      <c r="G733" s="309"/>
      <c r="H733" s="309"/>
      <c r="I733" s="309"/>
    </row>
    <row r="734">
      <c r="D734" s="309"/>
      <c r="E734" s="309"/>
      <c r="F734" s="309"/>
      <c r="G734" s="309"/>
      <c r="H734" s="309"/>
      <c r="I734" s="309"/>
    </row>
    <row r="735">
      <c r="D735" s="309"/>
      <c r="E735" s="309"/>
      <c r="F735" s="309"/>
      <c r="G735" s="309"/>
      <c r="H735" s="309"/>
      <c r="I735" s="309"/>
    </row>
    <row r="736">
      <c r="D736" s="309"/>
      <c r="E736" s="309"/>
      <c r="F736" s="309"/>
      <c r="G736" s="309"/>
      <c r="H736" s="309"/>
      <c r="I736" s="309"/>
    </row>
    <row r="737">
      <c r="D737" s="309"/>
      <c r="E737" s="309"/>
      <c r="F737" s="309"/>
      <c r="G737" s="309"/>
      <c r="H737" s="309"/>
      <c r="I737" s="309"/>
    </row>
    <row r="738">
      <c r="D738" s="309"/>
      <c r="E738" s="309"/>
      <c r="F738" s="309"/>
      <c r="G738" s="309"/>
      <c r="H738" s="309"/>
      <c r="I738" s="309"/>
    </row>
    <row r="739">
      <c r="D739" s="309"/>
      <c r="E739" s="309"/>
      <c r="F739" s="309"/>
      <c r="G739" s="309"/>
      <c r="H739" s="309"/>
      <c r="I739" s="309"/>
    </row>
    <row r="740">
      <c r="D740" s="309"/>
      <c r="E740" s="309"/>
      <c r="F740" s="309"/>
      <c r="G740" s="309"/>
      <c r="H740" s="309"/>
      <c r="I740" s="309"/>
    </row>
    <row r="741">
      <c r="D741" s="309"/>
      <c r="E741" s="309"/>
      <c r="F741" s="309"/>
      <c r="G741" s="309"/>
      <c r="H741" s="309"/>
      <c r="I741" s="309"/>
    </row>
    <row r="742">
      <c r="D742" s="309"/>
      <c r="E742" s="309"/>
      <c r="F742" s="309"/>
      <c r="G742" s="309"/>
      <c r="H742" s="309"/>
      <c r="I742" s="309"/>
    </row>
    <row r="743">
      <c r="D743" s="309"/>
      <c r="E743" s="309"/>
      <c r="F743" s="309"/>
      <c r="G743" s="309"/>
      <c r="H743" s="309"/>
      <c r="I743" s="309"/>
    </row>
    <row r="744">
      <c r="D744" s="309"/>
      <c r="E744" s="309"/>
      <c r="F744" s="309"/>
      <c r="G744" s="309"/>
      <c r="H744" s="309"/>
      <c r="I744" s="309"/>
    </row>
    <row r="745">
      <c r="D745" s="309"/>
      <c r="E745" s="309"/>
      <c r="F745" s="309"/>
      <c r="G745" s="309"/>
      <c r="H745" s="309"/>
      <c r="I745" s="309"/>
    </row>
    <row r="746">
      <c r="D746" s="309"/>
      <c r="E746" s="309"/>
      <c r="F746" s="309"/>
      <c r="G746" s="309"/>
      <c r="H746" s="309"/>
      <c r="I746" s="309"/>
    </row>
    <row r="747">
      <c r="D747" s="309"/>
      <c r="E747" s="309"/>
      <c r="F747" s="309"/>
      <c r="G747" s="309"/>
      <c r="H747" s="309"/>
      <c r="I747" s="309"/>
    </row>
    <row r="748">
      <c r="D748" s="309"/>
      <c r="E748" s="309"/>
      <c r="F748" s="309"/>
      <c r="G748" s="309"/>
      <c r="H748" s="309"/>
      <c r="I748" s="309"/>
    </row>
    <row r="749">
      <c r="D749" s="309"/>
      <c r="E749" s="309"/>
      <c r="F749" s="309"/>
      <c r="G749" s="309"/>
      <c r="H749" s="309"/>
      <c r="I749" s="309"/>
    </row>
    <row r="750">
      <c r="D750" s="309"/>
      <c r="E750" s="309"/>
      <c r="F750" s="309"/>
      <c r="G750" s="309"/>
      <c r="H750" s="309"/>
      <c r="I750" s="309"/>
    </row>
    <row r="751">
      <c r="D751" s="309"/>
      <c r="E751" s="309"/>
      <c r="F751" s="309"/>
      <c r="G751" s="309"/>
      <c r="H751" s="309"/>
      <c r="I751" s="309"/>
    </row>
    <row r="752">
      <c r="D752" s="309"/>
      <c r="E752" s="309"/>
      <c r="F752" s="309"/>
      <c r="G752" s="309"/>
      <c r="H752" s="309"/>
      <c r="I752" s="309"/>
    </row>
    <row r="753">
      <c r="D753" s="309"/>
      <c r="E753" s="309"/>
      <c r="F753" s="309"/>
      <c r="G753" s="309"/>
      <c r="H753" s="309"/>
      <c r="I753" s="309"/>
    </row>
    <row r="754">
      <c r="D754" s="309"/>
      <c r="E754" s="309"/>
      <c r="F754" s="309"/>
      <c r="G754" s="309"/>
      <c r="H754" s="309"/>
      <c r="I754" s="309"/>
    </row>
    <row r="755">
      <c r="D755" s="309"/>
      <c r="E755" s="309"/>
      <c r="F755" s="309"/>
      <c r="G755" s="309"/>
      <c r="H755" s="309"/>
      <c r="I755" s="309"/>
    </row>
    <row r="756">
      <c r="D756" s="309"/>
      <c r="E756" s="309"/>
      <c r="F756" s="309"/>
      <c r="G756" s="309"/>
      <c r="H756" s="309"/>
      <c r="I756" s="309"/>
    </row>
    <row r="757">
      <c r="D757" s="309"/>
      <c r="E757" s="309"/>
      <c r="F757" s="309"/>
      <c r="G757" s="309"/>
      <c r="H757" s="309"/>
      <c r="I757" s="309"/>
    </row>
    <row r="758">
      <c r="D758" s="309"/>
      <c r="E758" s="309"/>
      <c r="F758" s="309"/>
      <c r="G758" s="309"/>
      <c r="H758" s="309"/>
      <c r="I758" s="309"/>
    </row>
    <row r="759">
      <c r="D759" s="309"/>
      <c r="E759" s="309"/>
      <c r="F759" s="309"/>
      <c r="G759" s="309"/>
      <c r="H759" s="309"/>
      <c r="I759" s="309"/>
    </row>
    <row r="760">
      <c r="D760" s="309"/>
      <c r="E760" s="309"/>
      <c r="F760" s="309"/>
      <c r="G760" s="309"/>
      <c r="H760" s="309"/>
      <c r="I760" s="309"/>
    </row>
    <row r="761">
      <c r="D761" s="309"/>
      <c r="E761" s="309"/>
      <c r="F761" s="309"/>
      <c r="G761" s="309"/>
      <c r="H761" s="309"/>
      <c r="I761" s="309"/>
    </row>
    <row r="762">
      <c r="D762" s="309"/>
      <c r="E762" s="309"/>
      <c r="F762" s="309"/>
      <c r="G762" s="309"/>
      <c r="H762" s="309"/>
      <c r="I762" s="309"/>
    </row>
    <row r="763">
      <c r="D763" s="309"/>
      <c r="E763" s="309"/>
      <c r="F763" s="309"/>
      <c r="G763" s="309"/>
      <c r="H763" s="309"/>
      <c r="I763" s="309"/>
    </row>
    <row r="764">
      <c r="D764" s="309"/>
      <c r="E764" s="309"/>
      <c r="F764" s="309"/>
      <c r="G764" s="309"/>
      <c r="H764" s="309"/>
      <c r="I764" s="309"/>
    </row>
    <row r="765">
      <c r="D765" s="309"/>
      <c r="E765" s="309"/>
      <c r="F765" s="309"/>
      <c r="G765" s="309"/>
      <c r="H765" s="309"/>
      <c r="I765" s="309"/>
    </row>
    <row r="766">
      <c r="D766" s="309"/>
      <c r="E766" s="309"/>
      <c r="F766" s="309"/>
      <c r="G766" s="309"/>
      <c r="H766" s="309"/>
      <c r="I766" s="309"/>
    </row>
    <row r="767">
      <c r="D767" s="309"/>
      <c r="E767" s="309"/>
      <c r="F767" s="309"/>
      <c r="G767" s="309"/>
      <c r="H767" s="309"/>
      <c r="I767" s="309"/>
    </row>
    <row r="768">
      <c r="D768" s="309"/>
      <c r="E768" s="309"/>
      <c r="F768" s="309"/>
      <c r="G768" s="309"/>
      <c r="H768" s="309"/>
      <c r="I768" s="309"/>
    </row>
    <row r="769">
      <c r="D769" s="309"/>
      <c r="E769" s="309"/>
      <c r="F769" s="309"/>
      <c r="G769" s="309"/>
      <c r="H769" s="309"/>
      <c r="I769" s="309"/>
    </row>
  </sheetData>
  <mergeCells count="302">
    <mergeCell ref="D44:H44"/>
    <mergeCell ref="G45:H45"/>
    <mergeCell ref="G46:H46"/>
    <mergeCell ref="G47:H47"/>
    <mergeCell ref="G48:H48"/>
    <mergeCell ref="E49:H49"/>
    <mergeCell ref="E50:H50"/>
    <mergeCell ref="E51:F51"/>
    <mergeCell ref="E52:F52"/>
    <mergeCell ref="E53:F53"/>
    <mergeCell ref="D54:H54"/>
    <mergeCell ref="G55:H55"/>
    <mergeCell ref="G56:H56"/>
    <mergeCell ref="G57:H57"/>
    <mergeCell ref="C2:I2"/>
    <mergeCell ref="D3:H3"/>
    <mergeCell ref="D4:H4"/>
    <mergeCell ref="G5:H5"/>
    <mergeCell ref="G6:H6"/>
    <mergeCell ref="G7:H7"/>
    <mergeCell ref="G8:H8"/>
    <mergeCell ref="E9:H9"/>
    <mergeCell ref="E10:H10"/>
    <mergeCell ref="E11:F11"/>
    <mergeCell ref="E12:F12"/>
    <mergeCell ref="E13:F13"/>
    <mergeCell ref="D14:H14"/>
    <mergeCell ref="G15:H15"/>
    <mergeCell ref="G16:H16"/>
    <mergeCell ref="G17:H17"/>
    <mergeCell ref="G18:H18"/>
    <mergeCell ref="E19:H19"/>
    <mergeCell ref="E20:H20"/>
    <mergeCell ref="E21:F21"/>
    <mergeCell ref="E22:F22"/>
    <mergeCell ref="E23:F23"/>
    <mergeCell ref="D24:H24"/>
    <mergeCell ref="G25:H25"/>
    <mergeCell ref="G26:H26"/>
    <mergeCell ref="G27:H27"/>
    <mergeCell ref="G28:H28"/>
    <mergeCell ref="E29:H29"/>
    <mergeCell ref="E30:H30"/>
    <mergeCell ref="E31:F31"/>
    <mergeCell ref="E32:F32"/>
    <mergeCell ref="E33:F33"/>
    <mergeCell ref="D34:H34"/>
    <mergeCell ref="G35:H35"/>
    <mergeCell ref="G36:H36"/>
    <mergeCell ref="G37:H37"/>
    <mergeCell ref="G38:H38"/>
    <mergeCell ref="E39:H39"/>
    <mergeCell ref="E40:H40"/>
    <mergeCell ref="E41:F41"/>
    <mergeCell ref="E42:F42"/>
    <mergeCell ref="E43:F43"/>
    <mergeCell ref="G58:H58"/>
    <mergeCell ref="E59:H59"/>
    <mergeCell ref="E60:H60"/>
    <mergeCell ref="E61:F61"/>
    <mergeCell ref="E62:F62"/>
    <mergeCell ref="E63:F63"/>
    <mergeCell ref="D64:H64"/>
    <mergeCell ref="G65:H65"/>
    <mergeCell ref="G66:H66"/>
    <mergeCell ref="G67:H67"/>
    <mergeCell ref="G68:H68"/>
    <mergeCell ref="E69:H69"/>
    <mergeCell ref="E70:H70"/>
    <mergeCell ref="E71:F71"/>
    <mergeCell ref="E72:F72"/>
    <mergeCell ref="E73:F73"/>
    <mergeCell ref="D74:H74"/>
    <mergeCell ref="G75:H75"/>
    <mergeCell ref="G76:H76"/>
    <mergeCell ref="G77:H77"/>
    <mergeCell ref="G78:H78"/>
    <mergeCell ref="E79:H79"/>
    <mergeCell ref="E80:H80"/>
    <mergeCell ref="E81:F81"/>
    <mergeCell ref="E82:F82"/>
    <mergeCell ref="E83:F83"/>
    <mergeCell ref="D84:H84"/>
    <mergeCell ref="G85:H85"/>
    <mergeCell ref="G86:H86"/>
    <mergeCell ref="G87:H87"/>
    <mergeCell ref="G88:H88"/>
    <mergeCell ref="E89:H89"/>
    <mergeCell ref="E90:H90"/>
    <mergeCell ref="E91:F91"/>
    <mergeCell ref="E92:F92"/>
    <mergeCell ref="E93:F93"/>
    <mergeCell ref="D94:H94"/>
    <mergeCell ref="G95:H95"/>
    <mergeCell ref="G96:H96"/>
    <mergeCell ref="G97:H97"/>
    <mergeCell ref="G98:H98"/>
    <mergeCell ref="E99:H99"/>
    <mergeCell ref="E100:H100"/>
    <mergeCell ref="E101:F101"/>
    <mergeCell ref="E102:F102"/>
    <mergeCell ref="E103:F103"/>
    <mergeCell ref="D104:H104"/>
    <mergeCell ref="G105:H105"/>
    <mergeCell ref="G106:H106"/>
    <mergeCell ref="G107:H107"/>
    <mergeCell ref="G108:H108"/>
    <mergeCell ref="E109:H109"/>
    <mergeCell ref="E110:H110"/>
    <mergeCell ref="E111:F111"/>
    <mergeCell ref="E112:F112"/>
    <mergeCell ref="E113:F113"/>
    <mergeCell ref="D114:H114"/>
    <mergeCell ref="G115:H115"/>
    <mergeCell ref="G116:H116"/>
    <mergeCell ref="G117:H117"/>
    <mergeCell ref="G118:H118"/>
    <mergeCell ref="E119:H119"/>
    <mergeCell ref="E120:H120"/>
    <mergeCell ref="E121:F121"/>
    <mergeCell ref="E122:F122"/>
    <mergeCell ref="E123:F123"/>
    <mergeCell ref="D124:H124"/>
    <mergeCell ref="G125:H125"/>
    <mergeCell ref="G126:H126"/>
    <mergeCell ref="G127:H127"/>
    <mergeCell ref="G128:H128"/>
    <mergeCell ref="E129:H129"/>
    <mergeCell ref="E130:H130"/>
    <mergeCell ref="E131:F131"/>
    <mergeCell ref="E132:F132"/>
    <mergeCell ref="E133:F133"/>
    <mergeCell ref="D134:H134"/>
    <mergeCell ref="G135:H135"/>
    <mergeCell ref="G136:H136"/>
    <mergeCell ref="G137:H137"/>
    <mergeCell ref="G138:H138"/>
    <mergeCell ref="E139:H139"/>
    <mergeCell ref="E140:H140"/>
    <mergeCell ref="E141:F141"/>
    <mergeCell ref="E142:F142"/>
    <mergeCell ref="E143:F143"/>
    <mergeCell ref="D144:H144"/>
    <mergeCell ref="G145:H145"/>
    <mergeCell ref="G146:H146"/>
    <mergeCell ref="G147:H147"/>
    <mergeCell ref="G148:H148"/>
    <mergeCell ref="E149:H149"/>
    <mergeCell ref="E150:H150"/>
    <mergeCell ref="E151:F151"/>
    <mergeCell ref="E152:F152"/>
    <mergeCell ref="E153:F153"/>
    <mergeCell ref="D154:H154"/>
    <mergeCell ref="G155:H155"/>
    <mergeCell ref="G156:H156"/>
    <mergeCell ref="G157:H157"/>
    <mergeCell ref="G158:H158"/>
    <mergeCell ref="E159:H159"/>
    <mergeCell ref="E160:H160"/>
    <mergeCell ref="E161:F161"/>
    <mergeCell ref="E162:F162"/>
    <mergeCell ref="E163:F163"/>
    <mergeCell ref="D164:H164"/>
    <mergeCell ref="G165:H165"/>
    <mergeCell ref="G166:H166"/>
    <mergeCell ref="G167:H167"/>
    <mergeCell ref="G168:H168"/>
    <mergeCell ref="E169:H169"/>
    <mergeCell ref="E170:H170"/>
    <mergeCell ref="E171:F171"/>
    <mergeCell ref="E172:F172"/>
    <mergeCell ref="E173:F173"/>
    <mergeCell ref="D174:H174"/>
    <mergeCell ref="G175:H175"/>
    <mergeCell ref="G176:H176"/>
    <mergeCell ref="G177:H177"/>
    <mergeCell ref="G178:H178"/>
    <mergeCell ref="E179:H179"/>
    <mergeCell ref="E180:H180"/>
    <mergeCell ref="E181:F181"/>
    <mergeCell ref="E182:F182"/>
    <mergeCell ref="E183:F183"/>
    <mergeCell ref="D184:H184"/>
    <mergeCell ref="G185:H185"/>
    <mergeCell ref="G186:H186"/>
    <mergeCell ref="G187:H187"/>
    <mergeCell ref="G188:H188"/>
    <mergeCell ref="E189:H189"/>
    <mergeCell ref="E190:H190"/>
    <mergeCell ref="E191:F191"/>
    <mergeCell ref="E192:F192"/>
    <mergeCell ref="E193:F193"/>
    <mergeCell ref="D194:H194"/>
    <mergeCell ref="G195:H195"/>
    <mergeCell ref="G196:H196"/>
    <mergeCell ref="G197:H197"/>
    <mergeCell ref="G198:H198"/>
    <mergeCell ref="E199:H199"/>
    <mergeCell ref="E200:H200"/>
    <mergeCell ref="E201:F201"/>
    <mergeCell ref="E202:F202"/>
    <mergeCell ref="E203:F203"/>
    <mergeCell ref="D204:H204"/>
    <mergeCell ref="G205:H205"/>
    <mergeCell ref="G206:H206"/>
    <mergeCell ref="G207:H207"/>
    <mergeCell ref="G208:H208"/>
    <mergeCell ref="E209:H209"/>
    <mergeCell ref="E210:H210"/>
    <mergeCell ref="E211:F211"/>
    <mergeCell ref="D254:H254"/>
    <mergeCell ref="G255:H255"/>
    <mergeCell ref="G256:H256"/>
    <mergeCell ref="G257:H257"/>
    <mergeCell ref="G258:H258"/>
    <mergeCell ref="E259:H259"/>
    <mergeCell ref="E260:H260"/>
    <mergeCell ref="E261:F261"/>
    <mergeCell ref="E262:F262"/>
    <mergeCell ref="E263:F263"/>
    <mergeCell ref="D264:H264"/>
    <mergeCell ref="G265:H265"/>
    <mergeCell ref="G266:H266"/>
    <mergeCell ref="G267:H267"/>
    <mergeCell ref="G275:H275"/>
    <mergeCell ref="G276:H276"/>
    <mergeCell ref="G277:H277"/>
    <mergeCell ref="G278:H278"/>
    <mergeCell ref="E279:H279"/>
    <mergeCell ref="E280:H280"/>
    <mergeCell ref="E281:F281"/>
    <mergeCell ref="E282:F282"/>
    <mergeCell ref="E283:F283"/>
    <mergeCell ref="D284:H284"/>
    <mergeCell ref="G285:H285"/>
    <mergeCell ref="G286:H286"/>
    <mergeCell ref="G287:H287"/>
    <mergeCell ref="G288:H288"/>
    <mergeCell ref="G296:H296"/>
    <mergeCell ref="G297:H297"/>
    <mergeCell ref="G298:H298"/>
    <mergeCell ref="E299:H299"/>
    <mergeCell ref="E300:H300"/>
    <mergeCell ref="E301:F301"/>
    <mergeCell ref="E302:F302"/>
    <mergeCell ref="E303:F303"/>
    <mergeCell ref="E289:H289"/>
    <mergeCell ref="E290:H290"/>
    <mergeCell ref="E291:F291"/>
    <mergeCell ref="E292:F292"/>
    <mergeCell ref="E293:F293"/>
    <mergeCell ref="D294:H294"/>
    <mergeCell ref="G295:H295"/>
    <mergeCell ref="E212:F212"/>
    <mergeCell ref="E213:F213"/>
    <mergeCell ref="D214:H214"/>
    <mergeCell ref="G215:H215"/>
    <mergeCell ref="G216:H216"/>
    <mergeCell ref="G217:H217"/>
    <mergeCell ref="G218:H218"/>
    <mergeCell ref="E219:H219"/>
    <mergeCell ref="E220:H220"/>
    <mergeCell ref="E221:F221"/>
    <mergeCell ref="E222:F222"/>
    <mergeCell ref="E223:F223"/>
    <mergeCell ref="D224:H224"/>
    <mergeCell ref="G225:H225"/>
    <mergeCell ref="G226:H226"/>
    <mergeCell ref="G227:H227"/>
    <mergeCell ref="G228:H228"/>
    <mergeCell ref="E229:H229"/>
    <mergeCell ref="E230:H230"/>
    <mergeCell ref="E231:F231"/>
    <mergeCell ref="E232:F232"/>
    <mergeCell ref="E233:F233"/>
    <mergeCell ref="D234:H234"/>
    <mergeCell ref="G235:H235"/>
    <mergeCell ref="G236:H236"/>
    <mergeCell ref="G237:H237"/>
    <mergeCell ref="G238:H238"/>
    <mergeCell ref="E239:H239"/>
    <mergeCell ref="E240:H240"/>
    <mergeCell ref="E241:F241"/>
    <mergeCell ref="E242:F242"/>
    <mergeCell ref="E243:F243"/>
    <mergeCell ref="D244:H244"/>
    <mergeCell ref="G245:H245"/>
    <mergeCell ref="G246:H246"/>
    <mergeCell ref="G247:H247"/>
    <mergeCell ref="G248:H248"/>
    <mergeCell ref="E249:H249"/>
    <mergeCell ref="E250:H250"/>
    <mergeCell ref="E251:F251"/>
    <mergeCell ref="E252:F252"/>
    <mergeCell ref="E253:F253"/>
    <mergeCell ref="G268:H268"/>
    <mergeCell ref="E269:H269"/>
    <mergeCell ref="E270:H270"/>
    <mergeCell ref="E271:F271"/>
    <mergeCell ref="E272:F272"/>
    <mergeCell ref="E273:F273"/>
    <mergeCell ref="D274:H274"/>
  </mergeCells>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3" priority="1" operator="equal">
      <formula>"A"</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4" priority="2" operator="equal">
      <formula>"B"</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5" priority="3" operator="equal">
      <formula>"C1"</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6" priority="4" operator="equal">
      <formula>"C2"</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7" priority="5" operator="equal">
      <formula>"D"</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8" priority="6" operator="equal">
      <formula>"R"</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9" priority="7" operator="equal">
      <formula>"N"</formula>
    </cfRule>
  </conditionalFormatting>
  <conditionalFormatting sqref="E8 E18 E28 E38 E48 E58 E68 E78 E88 E98 E108 E118 E128 E138 E148 E158 E168 E178 E188 E198 E208 E218 E228 E238 E248 E258 E268 E278 E288 E298">
    <cfRule type="cellIs" dxfId="14" priority="8" operator="equal">
      <formula>"NL"</formula>
    </cfRule>
  </conditionalFormatting>
  <conditionalFormatting sqref="E8 E18 E28 E38 E48 E58 E68 E78 E88 E98 E108 E118 E128 E138 E148 E158 E168 E178 E188 E198 E208 E218 E228 E238 E248 E258 E268 E278 E288 E298">
    <cfRule type="cellIs" dxfId="15" priority="9" operator="equal">
      <formula>"NL"</formula>
    </cfRule>
  </conditionalFormatting>
  <printOptions gridLines="1" horizontalCentered="1"/>
  <pageMargins bottom="0.75" footer="0.0" header="0.0" left="0.7" right="0.7" top="0.75"/>
  <pageSetup fitToHeight="0" paperSize="9" cellComments="atEnd" orientation="portrait" pageOrder="overThenDown"/>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6.13"/>
    <col customWidth="1" min="2" max="2" width="6.25"/>
    <col customWidth="1" min="3" max="3" width="6.38"/>
    <col customWidth="1" min="4" max="4" width="19.5"/>
    <col customWidth="1" min="5" max="5" width="15.75"/>
    <col customWidth="1" hidden="1" min="6" max="12" width="15.75"/>
    <col customWidth="1" min="13" max="13" width="15.75"/>
    <col customWidth="1" min="14" max="14" width="11.0"/>
    <col customWidth="1" min="15" max="15" width="10.63"/>
    <col customWidth="1" min="16" max="19" width="15.75"/>
    <col customWidth="1" min="20" max="20" width="15.5"/>
    <col customWidth="1" min="24" max="24" width="91.0"/>
    <col customWidth="1" min="25" max="25" width="24.38"/>
  </cols>
  <sheetData>
    <row r="1">
      <c r="A1" s="239" t="s">
        <v>86</v>
      </c>
      <c r="B1" s="240"/>
      <c r="C1" s="240"/>
      <c r="D1" s="240"/>
      <c r="E1" s="114"/>
      <c r="F1" s="319"/>
      <c r="G1" s="319"/>
      <c r="H1" s="319"/>
      <c r="I1" s="319"/>
      <c r="J1" s="319"/>
      <c r="K1" s="319"/>
      <c r="L1" s="319"/>
      <c r="M1" s="320" t="s">
        <v>87</v>
      </c>
      <c r="N1" s="240"/>
      <c r="O1" s="240"/>
      <c r="P1" s="114"/>
      <c r="Q1" s="321" t="s">
        <v>119</v>
      </c>
      <c r="R1" s="240"/>
      <c r="S1" s="322" t="s">
        <v>120</v>
      </c>
      <c r="T1" s="240"/>
      <c r="U1" s="240"/>
      <c r="V1" s="243"/>
      <c r="W1" s="243"/>
      <c r="X1" s="243"/>
      <c r="Y1" s="244"/>
    </row>
    <row r="2" ht="62.25" customHeight="1">
      <c r="A2" s="323" t="s">
        <v>89</v>
      </c>
      <c r="B2" s="324" t="s">
        <v>121</v>
      </c>
      <c r="C2" s="324" t="s">
        <v>1</v>
      </c>
      <c r="D2" s="324" t="s">
        <v>17</v>
      </c>
      <c r="E2" s="325" t="s">
        <v>18</v>
      </c>
      <c r="F2" s="326" t="s">
        <v>122</v>
      </c>
      <c r="G2" s="326" t="s">
        <v>123</v>
      </c>
      <c r="H2" s="326" t="s">
        <v>124</v>
      </c>
      <c r="I2" s="327" t="s">
        <v>125</v>
      </c>
      <c r="J2" s="327" t="s">
        <v>126</v>
      </c>
      <c r="K2" s="327" t="s">
        <v>127</v>
      </c>
      <c r="L2" s="328" t="s">
        <v>128</v>
      </c>
      <c r="M2" s="329" t="s">
        <v>129</v>
      </c>
      <c r="N2" s="330" t="s">
        <v>130</v>
      </c>
      <c r="O2" s="330" t="s">
        <v>131</v>
      </c>
      <c r="P2" s="331" t="s">
        <v>92</v>
      </c>
      <c r="Q2" s="332" t="s">
        <v>93</v>
      </c>
      <c r="R2" s="333" t="s">
        <v>132</v>
      </c>
      <c r="S2" s="333" t="s">
        <v>133</v>
      </c>
      <c r="T2" s="333" t="s">
        <v>134</v>
      </c>
      <c r="U2" s="333" t="s">
        <v>18</v>
      </c>
      <c r="V2" s="333" t="s">
        <v>135</v>
      </c>
      <c r="W2" s="333" t="s">
        <v>136</v>
      </c>
      <c r="X2" s="333" t="s">
        <v>137</v>
      </c>
      <c r="Y2" s="334" t="s">
        <v>138</v>
      </c>
    </row>
    <row r="3">
      <c r="A3" s="335">
        <v>1.0</v>
      </c>
      <c r="B3" s="336" t="str">
        <f t="shared" ref="B3:B12" si="1">IF(C3="","",IF(M3="参加",IF(F3="A",I3+J3,IF(F3="B",I3+J3+K3,IF(F3="未",I3)))))</f>
        <v/>
      </c>
      <c r="C3" s="337" t="str">
        <f t="shared" ref="C3:C102" si="2">IF(M3="参加",IF(OR(LEFT(W3,1)="C",LEFT(W3,2)="NL"),LEFT(W3,2),LEFT(W3,1)),"")</f>
        <v/>
      </c>
      <c r="D3" s="336" t="str">
        <f t="shared" ref="D3:D12" si="3">IF(C3="","",T3)</f>
        <v/>
      </c>
      <c r="E3" s="338" t="str">
        <f t="shared" ref="E3:E102" si="4">IF(C3="","",U3)</f>
        <v/>
      </c>
      <c r="F3" s="339" t="str">
        <f t="shared" ref="F3:F12" si="5">IF(M3="参加",IF(COUNTIF(N3,"*A*")=1,"A",IF(COUNTIF(O3,"*B*")=1,"B","未")),"")</f>
        <v/>
      </c>
      <c r="G3" s="339" t="str">
        <f t="shared" ref="G3:G12" si="6">IF(C3="","",IF(F3="A",N3,IF(F3="B",O3,"未確定")))</f>
        <v/>
      </c>
      <c r="H3" s="339" t="str">
        <f t="shared" ref="H3:H12" si="7">IF(C3="","", IF(F3="未","-",IF(F3="A",I3,IF(F3="B",I3+K3))))</f>
        <v/>
      </c>
      <c r="I3" s="340" t="str">
        <f t="shared" ref="I3:I12" si="8">IF(C3="","", IF(F3="A",VALUE(MID(N3,2,2)),IF(F3="B",VALUE(MID(O3,2,2)),COUNTIF(F$3:F3,"未"))))</f>
        <v/>
      </c>
      <c r="J3" s="340" t="str">
        <f t="shared" ref="J3:J12" si="9">IF(C3="","", COUNTIFS(M$3:M$102,"参加",N$3:N$102,"",O$3:O$102,"")+COUNTIFS(M$3:M$102,"参加",N$3:N$102,"-",O$3:O$102,"-"))</f>
        <v/>
      </c>
      <c r="K3" s="340" t="str">
        <f t="shared" ref="K3:K12" si="10">IF(C3="","", COUNTIFS(M$3:M$102,"参加",N$3:N$102,"&lt;&gt;*-")-COUNTIFS(M$3:M$102,"参加",N$3:N$102,""))</f>
        <v/>
      </c>
      <c r="L3" s="341" t="str">
        <f t="shared" ref="L3:L12" si="11">IF(C3="","", COUNTIFS(M$3:M$102,"参加",O$3:O$102,"&lt;&gt;*-")-COUNTIFS(M$3:M$102,"参加",O$3:O$102,""))</f>
        <v/>
      </c>
      <c r="M3" s="342"/>
      <c r="N3" s="343"/>
      <c r="O3" s="343"/>
      <c r="P3" s="344"/>
      <c r="Q3" s="345" t="s">
        <v>139</v>
      </c>
      <c r="R3" s="346"/>
      <c r="S3" s="296"/>
      <c r="T3" s="347" t="s">
        <v>140</v>
      </c>
      <c r="U3" s="347" t="s">
        <v>141</v>
      </c>
      <c r="V3" s="348"/>
      <c r="W3" s="349" t="s">
        <v>142</v>
      </c>
      <c r="X3" s="347" t="s">
        <v>143</v>
      </c>
      <c r="Y3" s="350"/>
    </row>
    <row r="4">
      <c r="A4" s="351">
        <v>2.0</v>
      </c>
      <c r="B4" s="352" t="str">
        <f t="shared" si="1"/>
        <v/>
      </c>
      <c r="C4" s="337" t="str">
        <f t="shared" si="2"/>
        <v/>
      </c>
      <c r="D4" s="352" t="str">
        <f t="shared" si="3"/>
        <v/>
      </c>
      <c r="E4" s="353" t="str">
        <f t="shared" si="4"/>
        <v/>
      </c>
      <c r="F4" s="354" t="str">
        <f t="shared" si="5"/>
        <v/>
      </c>
      <c r="G4" s="339" t="str">
        <f t="shared" si="6"/>
        <v/>
      </c>
      <c r="H4" s="339" t="str">
        <f t="shared" si="7"/>
        <v/>
      </c>
      <c r="I4" s="352" t="str">
        <f t="shared" si="8"/>
        <v/>
      </c>
      <c r="J4" s="352" t="str">
        <f t="shared" si="9"/>
        <v/>
      </c>
      <c r="K4" s="352" t="str">
        <f t="shared" si="10"/>
        <v/>
      </c>
      <c r="L4" s="355" t="str">
        <f t="shared" si="11"/>
        <v/>
      </c>
      <c r="M4" s="356"/>
      <c r="N4" s="357"/>
      <c r="O4" s="357"/>
      <c r="P4" s="358"/>
      <c r="Q4" s="359" t="s">
        <v>144</v>
      </c>
      <c r="R4" s="360"/>
      <c r="S4" s="361"/>
      <c r="T4" s="267" t="s">
        <v>145</v>
      </c>
      <c r="U4" s="267" t="s">
        <v>146</v>
      </c>
      <c r="V4" s="362"/>
      <c r="W4" s="363" t="s">
        <v>142</v>
      </c>
      <c r="X4" s="267" t="s">
        <v>143</v>
      </c>
      <c r="Y4" s="364"/>
    </row>
    <row r="5">
      <c r="A5" s="351">
        <v>3.0</v>
      </c>
      <c r="B5" s="352" t="str">
        <f t="shared" si="1"/>
        <v/>
      </c>
      <c r="C5" s="337" t="str">
        <f t="shared" si="2"/>
        <v/>
      </c>
      <c r="D5" s="352" t="str">
        <f t="shared" si="3"/>
        <v/>
      </c>
      <c r="E5" s="353" t="str">
        <f t="shared" si="4"/>
        <v/>
      </c>
      <c r="F5" s="354" t="str">
        <f t="shared" si="5"/>
        <v/>
      </c>
      <c r="G5" s="339" t="str">
        <f t="shared" si="6"/>
        <v/>
      </c>
      <c r="H5" s="339" t="str">
        <f t="shared" si="7"/>
        <v/>
      </c>
      <c r="I5" s="352" t="str">
        <f t="shared" si="8"/>
        <v/>
      </c>
      <c r="J5" s="352" t="str">
        <f t="shared" si="9"/>
        <v/>
      </c>
      <c r="K5" s="352" t="str">
        <f t="shared" si="10"/>
        <v/>
      </c>
      <c r="L5" s="355" t="str">
        <f t="shared" si="11"/>
        <v/>
      </c>
      <c r="M5" s="356"/>
      <c r="N5" s="357"/>
      <c r="O5" s="357"/>
      <c r="P5" s="358"/>
      <c r="Q5" s="365" t="s">
        <v>147</v>
      </c>
      <c r="R5" s="366"/>
      <c r="S5" s="367"/>
      <c r="T5" s="368" t="s">
        <v>148</v>
      </c>
      <c r="U5" s="368" t="s">
        <v>149</v>
      </c>
      <c r="V5" s="369"/>
      <c r="W5" s="370" t="s">
        <v>150</v>
      </c>
      <c r="X5" s="368"/>
      <c r="Y5" s="371"/>
    </row>
    <row r="6">
      <c r="A6" s="351">
        <v>4.0</v>
      </c>
      <c r="B6" s="352" t="str">
        <f t="shared" si="1"/>
        <v/>
      </c>
      <c r="C6" s="337" t="str">
        <f t="shared" si="2"/>
        <v/>
      </c>
      <c r="D6" s="352" t="str">
        <f t="shared" si="3"/>
        <v/>
      </c>
      <c r="E6" s="353" t="str">
        <f t="shared" si="4"/>
        <v/>
      </c>
      <c r="F6" s="354" t="str">
        <f t="shared" si="5"/>
        <v/>
      </c>
      <c r="G6" s="339" t="str">
        <f t="shared" si="6"/>
        <v/>
      </c>
      <c r="H6" s="339" t="str">
        <f t="shared" si="7"/>
        <v/>
      </c>
      <c r="I6" s="352" t="str">
        <f t="shared" si="8"/>
        <v/>
      </c>
      <c r="J6" s="352" t="str">
        <f t="shared" si="9"/>
        <v/>
      </c>
      <c r="K6" s="352" t="str">
        <f t="shared" si="10"/>
        <v/>
      </c>
      <c r="L6" s="355" t="str">
        <f t="shared" si="11"/>
        <v/>
      </c>
      <c r="M6" s="356"/>
      <c r="N6" s="357"/>
      <c r="O6" s="357"/>
      <c r="P6" s="358"/>
      <c r="Q6" s="372" t="s">
        <v>151</v>
      </c>
      <c r="R6" s="373"/>
      <c r="S6" s="374"/>
      <c r="T6" s="375"/>
      <c r="U6" s="375"/>
      <c r="V6" s="376"/>
      <c r="W6" s="375"/>
      <c r="X6" s="375"/>
      <c r="Y6" s="377"/>
    </row>
    <row r="7">
      <c r="A7" s="351">
        <v>5.0</v>
      </c>
      <c r="B7" s="352" t="str">
        <f t="shared" si="1"/>
        <v/>
      </c>
      <c r="C7" s="337" t="str">
        <f t="shared" si="2"/>
        <v/>
      </c>
      <c r="D7" s="352" t="str">
        <f t="shared" si="3"/>
        <v/>
      </c>
      <c r="E7" s="353" t="str">
        <f t="shared" si="4"/>
        <v/>
      </c>
      <c r="F7" s="354" t="str">
        <f t="shared" si="5"/>
        <v/>
      </c>
      <c r="G7" s="339" t="str">
        <f t="shared" si="6"/>
        <v/>
      </c>
      <c r="H7" s="339" t="str">
        <f t="shared" si="7"/>
        <v/>
      </c>
      <c r="I7" s="352" t="str">
        <f t="shared" si="8"/>
        <v/>
      </c>
      <c r="J7" s="352" t="str">
        <f t="shared" si="9"/>
        <v/>
      </c>
      <c r="K7" s="352" t="str">
        <f t="shared" si="10"/>
        <v/>
      </c>
      <c r="L7" s="355" t="str">
        <f t="shared" si="11"/>
        <v/>
      </c>
      <c r="M7" s="356"/>
      <c r="N7" s="357"/>
      <c r="O7" s="357"/>
      <c r="P7" s="358"/>
      <c r="Q7" s="365" t="s">
        <v>152</v>
      </c>
      <c r="R7" s="366"/>
      <c r="S7" s="367"/>
      <c r="T7" s="369"/>
      <c r="U7" s="369"/>
      <c r="V7" s="369"/>
      <c r="W7" s="369"/>
      <c r="X7" s="368"/>
      <c r="Y7" s="371"/>
    </row>
    <row r="8">
      <c r="A8" s="351">
        <v>6.0</v>
      </c>
      <c r="B8" s="352" t="str">
        <f t="shared" si="1"/>
        <v/>
      </c>
      <c r="C8" s="337" t="str">
        <f t="shared" si="2"/>
        <v/>
      </c>
      <c r="D8" s="352" t="str">
        <f t="shared" si="3"/>
        <v/>
      </c>
      <c r="E8" s="353" t="str">
        <f t="shared" si="4"/>
        <v/>
      </c>
      <c r="F8" s="354" t="str">
        <f t="shared" si="5"/>
        <v/>
      </c>
      <c r="G8" s="339" t="str">
        <f t="shared" si="6"/>
        <v/>
      </c>
      <c r="H8" s="339" t="str">
        <f t="shared" si="7"/>
        <v/>
      </c>
      <c r="I8" s="352" t="str">
        <f t="shared" si="8"/>
        <v/>
      </c>
      <c r="J8" s="352" t="str">
        <f t="shared" si="9"/>
        <v/>
      </c>
      <c r="K8" s="352" t="str">
        <f t="shared" si="10"/>
        <v/>
      </c>
      <c r="L8" s="355" t="str">
        <f t="shared" si="11"/>
        <v/>
      </c>
      <c r="M8" s="356"/>
      <c r="N8" s="357"/>
      <c r="O8" s="357"/>
      <c r="P8" s="358"/>
      <c r="Q8" s="372" t="s">
        <v>153</v>
      </c>
      <c r="R8" s="373"/>
      <c r="S8" s="374"/>
      <c r="T8" s="376"/>
      <c r="U8" s="376"/>
      <c r="V8" s="376"/>
      <c r="W8" s="376"/>
      <c r="X8" s="376"/>
      <c r="Y8" s="377"/>
    </row>
    <row r="9">
      <c r="A9" s="351">
        <v>7.0</v>
      </c>
      <c r="B9" s="352" t="str">
        <f t="shared" si="1"/>
        <v/>
      </c>
      <c r="C9" s="337" t="str">
        <f t="shared" si="2"/>
        <v/>
      </c>
      <c r="D9" s="352" t="str">
        <f t="shared" si="3"/>
        <v/>
      </c>
      <c r="E9" s="353" t="str">
        <f t="shared" si="4"/>
        <v/>
      </c>
      <c r="F9" s="354" t="str">
        <f t="shared" si="5"/>
        <v/>
      </c>
      <c r="G9" s="339" t="str">
        <f t="shared" si="6"/>
        <v/>
      </c>
      <c r="H9" s="339" t="str">
        <f t="shared" si="7"/>
        <v/>
      </c>
      <c r="I9" s="352" t="str">
        <f t="shared" si="8"/>
        <v/>
      </c>
      <c r="J9" s="352" t="str">
        <f t="shared" si="9"/>
        <v/>
      </c>
      <c r="K9" s="352" t="str">
        <f t="shared" si="10"/>
        <v/>
      </c>
      <c r="L9" s="355" t="str">
        <f t="shared" si="11"/>
        <v/>
      </c>
      <c r="M9" s="356"/>
      <c r="N9" s="357"/>
      <c r="O9" s="357"/>
      <c r="P9" s="358"/>
      <c r="Q9" s="365" t="s">
        <v>154</v>
      </c>
      <c r="R9" s="366"/>
      <c r="S9" s="367"/>
      <c r="T9" s="369"/>
      <c r="U9" s="369"/>
      <c r="V9" s="369"/>
      <c r="W9" s="369"/>
      <c r="X9" s="369"/>
      <c r="Y9" s="371"/>
    </row>
    <row r="10">
      <c r="A10" s="351">
        <v>8.0</v>
      </c>
      <c r="B10" s="352" t="str">
        <f t="shared" si="1"/>
        <v/>
      </c>
      <c r="C10" s="337" t="str">
        <f t="shared" si="2"/>
        <v/>
      </c>
      <c r="D10" s="352" t="str">
        <f t="shared" si="3"/>
        <v/>
      </c>
      <c r="E10" s="353" t="str">
        <f t="shared" si="4"/>
        <v/>
      </c>
      <c r="F10" s="354" t="str">
        <f t="shared" si="5"/>
        <v/>
      </c>
      <c r="G10" s="339" t="str">
        <f t="shared" si="6"/>
        <v/>
      </c>
      <c r="H10" s="339" t="str">
        <f t="shared" si="7"/>
        <v/>
      </c>
      <c r="I10" s="352" t="str">
        <f t="shared" si="8"/>
        <v/>
      </c>
      <c r="J10" s="352" t="str">
        <f t="shared" si="9"/>
        <v/>
      </c>
      <c r="K10" s="352" t="str">
        <f t="shared" si="10"/>
        <v/>
      </c>
      <c r="L10" s="355" t="str">
        <f t="shared" si="11"/>
        <v/>
      </c>
      <c r="M10" s="356"/>
      <c r="N10" s="357"/>
      <c r="O10" s="357"/>
      <c r="P10" s="358"/>
      <c r="Q10" s="372" t="s">
        <v>155</v>
      </c>
      <c r="R10" s="373"/>
      <c r="S10" s="374"/>
      <c r="T10" s="376"/>
      <c r="U10" s="376"/>
      <c r="V10" s="376"/>
      <c r="W10" s="376"/>
      <c r="X10" s="376"/>
      <c r="Y10" s="377"/>
    </row>
    <row r="11">
      <c r="A11" s="351">
        <v>9.0</v>
      </c>
      <c r="B11" s="352" t="str">
        <f t="shared" si="1"/>
        <v/>
      </c>
      <c r="C11" s="337" t="str">
        <f t="shared" si="2"/>
        <v/>
      </c>
      <c r="D11" s="352" t="str">
        <f t="shared" si="3"/>
        <v/>
      </c>
      <c r="E11" s="353" t="str">
        <f t="shared" si="4"/>
        <v/>
      </c>
      <c r="F11" s="354" t="str">
        <f t="shared" si="5"/>
        <v/>
      </c>
      <c r="G11" s="339" t="str">
        <f t="shared" si="6"/>
        <v/>
      </c>
      <c r="H11" s="339" t="str">
        <f t="shared" si="7"/>
        <v/>
      </c>
      <c r="I11" s="352" t="str">
        <f t="shared" si="8"/>
        <v/>
      </c>
      <c r="J11" s="352" t="str">
        <f t="shared" si="9"/>
        <v/>
      </c>
      <c r="K11" s="352" t="str">
        <f t="shared" si="10"/>
        <v/>
      </c>
      <c r="L11" s="355" t="str">
        <f t="shared" si="11"/>
        <v/>
      </c>
      <c r="M11" s="356"/>
      <c r="N11" s="357"/>
      <c r="O11" s="357"/>
      <c r="P11" s="358"/>
      <c r="Q11" s="365" t="s">
        <v>156</v>
      </c>
      <c r="R11" s="366"/>
      <c r="S11" s="367"/>
      <c r="T11" s="369"/>
      <c r="U11" s="369"/>
      <c r="V11" s="369"/>
      <c r="W11" s="369"/>
      <c r="X11" s="369"/>
      <c r="Y11" s="371"/>
    </row>
    <row r="12">
      <c r="A12" s="378">
        <v>10.0</v>
      </c>
      <c r="B12" s="379" t="str">
        <f t="shared" si="1"/>
        <v/>
      </c>
      <c r="C12" s="337" t="str">
        <f t="shared" si="2"/>
        <v/>
      </c>
      <c r="D12" s="379" t="str">
        <f t="shared" si="3"/>
        <v/>
      </c>
      <c r="E12" s="380" t="str">
        <f t="shared" si="4"/>
        <v/>
      </c>
      <c r="F12" s="381" t="str">
        <f t="shared" si="5"/>
        <v/>
      </c>
      <c r="G12" s="339" t="str">
        <f t="shared" si="6"/>
        <v/>
      </c>
      <c r="H12" s="339" t="str">
        <f t="shared" si="7"/>
        <v/>
      </c>
      <c r="I12" s="382" t="str">
        <f t="shared" si="8"/>
        <v/>
      </c>
      <c r="J12" s="382" t="str">
        <f t="shared" si="9"/>
        <v/>
      </c>
      <c r="K12" s="382" t="str">
        <f t="shared" si="10"/>
        <v/>
      </c>
      <c r="L12" s="383" t="str">
        <f t="shared" si="11"/>
        <v/>
      </c>
      <c r="M12" s="384"/>
      <c r="N12" s="385"/>
      <c r="O12" s="385"/>
      <c r="P12" s="386"/>
      <c r="Q12" s="387" t="s">
        <v>157</v>
      </c>
      <c r="R12" s="388"/>
      <c r="S12" s="389"/>
      <c r="T12" s="390"/>
      <c r="U12" s="390"/>
      <c r="V12" s="390"/>
      <c r="W12" s="390"/>
      <c r="X12" s="391"/>
      <c r="Y12" s="392"/>
    </row>
    <row r="13">
      <c r="A13" s="393"/>
      <c r="B13" s="394"/>
      <c r="C13" s="394" t="str">
        <f t="shared" si="2"/>
        <v/>
      </c>
      <c r="D13" s="394"/>
      <c r="E13" s="394" t="str">
        <f t="shared" si="4"/>
        <v/>
      </c>
      <c r="F13" s="394"/>
      <c r="G13" s="394"/>
      <c r="H13" s="394"/>
      <c r="I13" s="394"/>
      <c r="J13" s="394"/>
      <c r="K13" s="394"/>
      <c r="L13" s="394"/>
      <c r="M13" s="395"/>
      <c r="N13" s="394"/>
      <c r="O13" s="394"/>
      <c r="P13" s="394"/>
      <c r="Q13" s="396" t="s">
        <v>158</v>
      </c>
      <c r="R13" s="397"/>
      <c r="S13" s="397"/>
      <c r="T13" s="397"/>
      <c r="U13" s="397"/>
      <c r="V13" s="397"/>
      <c r="W13" s="397"/>
      <c r="X13" s="397"/>
      <c r="Y13" s="398"/>
    </row>
    <row r="14">
      <c r="A14" s="335">
        <v>11.0</v>
      </c>
      <c r="B14" s="352" t="str">
        <f t="shared" ref="B14:B102" si="12">IF(C14="","",IF(M14="参加",IF(F14="A",I14+J14,IF(F14="B",I14+J14+K14,IF(F14="未",I14)))))</f>
        <v/>
      </c>
      <c r="C14" s="337" t="str">
        <f t="shared" si="2"/>
        <v/>
      </c>
      <c r="D14" s="399" t="str">
        <f t="shared" ref="D14:D102" si="13">IF(C14="","",T14)</f>
        <v/>
      </c>
      <c r="E14" s="400" t="str">
        <f t="shared" si="4"/>
        <v/>
      </c>
      <c r="F14" s="339" t="str">
        <f t="shared" ref="F14:F102" si="14">IF(M14="参加",IF(COUNTIF(N14,"*A*")=1,"A",IF(COUNTIF(O14,"*B*")=1,"B","未")),"")</f>
        <v/>
      </c>
      <c r="G14" s="339" t="str">
        <f t="shared" ref="G14:G102" si="15">IF(C14="","",IF(F14="A",N14,IF(F14="B",O14,"未確定")))</f>
        <v/>
      </c>
      <c r="H14" s="339" t="str">
        <f t="shared" ref="H14:H102" si="16">IF(C14="","", IF(F14="未","-",IF(F14="A",I14,IF(F14="B",I14+K14))))</f>
        <v/>
      </c>
      <c r="I14" s="340" t="str">
        <f t="shared" ref="I14:I102" si="17">IF(C14="","", IF(F14="A",VALUE(MID(N14,2,2)),IF(F14="B",VALUE(MID(O14,2,2)),COUNTIF(F$3:F14,"未"))))</f>
        <v/>
      </c>
      <c r="J14" s="340" t="str">
        <f t="shared" ref="J14:J102" si="18">IF(C14="","", COUNTIFS(M$3:M$102,"参加",N$3:N$102,"",O$3:O$102,"")+COUNTIFS(M$3:M$102,"参加",N$3:N$102,"-",O$3:O$102,"-"))</f>
        <v/>
      </c>
      <c r="K14" s="340" t="str">
        <f t="shared" ref="K14:K102" si="19">IF(C14="","", COUNTIFS(M$3:M$102,"参加",N$3:N$102,"&lt;&gt;*-")-COUNTIFS(M$3:M$102,"参加",N$3:N$102,""))</f>
        <v/>
      </c>
      <c r="L14" s="341" t="str">
        <f t="shared" ref="L14:L102" si="20">IF(C14="","", COUNTIFS(M$3:M$102,"参加",O$3:O$102,"&lt;&gt;*-")-COUNTIFS(M$3:M$102,"参加",O$3:O$102,""))</f>
        <v/>
      </c>
      <c r="M14" s="342"/>
      <c r="N14" s="343"/>
      <c r="O14" s="343"/>
      <c r="P14" s="344"/>
      <c r="Q14" s="401" t="str">
        <f>IFERROR(__xludf.DUMMYFUNCTION("IMPORTRANGE($S$1,""フォームの回答 1!A2:A102"")"),"#REF!")</f>
        <v>#REF!</v>
      </c>
      <c r="R14" s="402" t="str">
        <f>IFERROR(__xludf.DUMMYFUNCTION("IMPORTRANGE($S$1,""フォームの回答 1!B2:B102"")"),"#REF!")</f>
        <v>#REF!</v>
      </c>
      <c r="S14" s="403" t="str">
        <f>IFERROR(__xludf.DUMMYFUNCTION("IMPORTRANGE($S$1,""フォームの回答 1!C2:C102"")"),"#REF!")</f>
        <v>#REF!</v>
      </c>
      <c r="T14" s="403" t="str">
        <f>IFERROR(__xludf.DUMMYFUNCTION("IMPORTRANGE($S$1,""フォームの回答 1!E2:E102"")"),"#REF!")</f>
        <v>#REF!</v>
      </c>
      <c r="U14" s="403" t="str">
        <f>IFERROR(__xludf.DUMMYFUNCTION("IMPORTRANGE($S$1,""フォームの回答 1!F2:F102"")"),"#REF!")</f>
        <v>#REF!</v>
      </c>
      <c r="V14" s="403" t="str">
        <f>IFERROR(__xludf.DUMMYFUNCTION("IMPORTRANGE($S$1,""フォームの回答 1!J2:J102"")"),"#REF!")</f>
        <v>#REF!</v>
      </c>
      <c r="W14" s="403" t="str">
        <f>IFERROR(__xludf.DUMMYFUNCTION("IMPORTRANGE($S$1,""フォームの回答 1!L2:L102"")"),"#REF!")</f>
        <v>#REF!</v>
      </c>
      <c r="X14" s="404" t="str">
        <f>IFERROR(__xludf.DUMMYFUNCTION("IMPORTRANGE($S$1,""フォームの回答 1!M2:M102"")"),"#REF!")</f>
        <v>#REF!</v>
      </c>
      <c r="Y14" s="405"/>
    </row>
    <row r="15">
      <c r="A15" s="351">
        <v>12.0</v>
      </c>
      <c r="B15" s="352" t="str">
        <f t="shared" si="12"/>
        <v/>
      </c>
      <c r="C15" s="337" t="str">
        <f t="shared" si="2"/>
        <v/>
      </c>
      <c r="D15" s="406" t="str">
        <f t="shared" si="13"/>
        <v/>
      </c>
      <c r="E15" s="407" t="str">
        <f t="shared" si="4"/>
        <v/>
      </c>
      <c r="F15" s="354" t="str">
        <f t="shared" si="14"/>
        <v/>
      </c>
      <c r="G15" s="339" t="str">
        <f t="shared" si="15"/>
        <v/>
      </c>
      <c r="H15" s="339" t="str">
        <f t="shared" si="16"/>
        <v/>
      </c>
      <c r="I15" s="352" t="str">
        <f t="shared" si="17"/>
        <v/>
      </c>
      <c r="J15" s="352" t="str">
        <f t="shared" si="18"/>
        <v/>
      </c>
      <c r="K15" s="352" t="str">
        <f t="shared" si="19"/>
        <v/>
      </c>
      <c r="L15" s="355" t="str">
        <f t="shared" si="20"/>
        <v/>
      </c>
      <c r="M15" s="356"/>
      <c r="N15" s="357"/>
      <c r="O15" s="357"/>
      <c r="P15" s="358"/>
      <c r="Q15" s="408"/>
      <c r="R15" s="409"/>
      <c r="S15" s="409"/>
      <c r="T15" s="409"/>
      <c r="U15" s="409"/>
      <c r="V15" s="409"/>
      <c r="W15" s="409"/>
      <c r="X15" s="410"/>
      <c r="Y15" s="411"/>
    </row>
    <row r="16">
      <c r="A16" s="351">
        <v>13.0</v>
      </c>
      <c r="B16" s="352" t="str">
        <f t="shared" si="12"/>
        <v/>
      </c>
      <c r="C16" s="337" t="str">
        <f t="shared" si="2"/>
        <v/>
      </c>
      <c r="D16" s="412" t="str">
        <f t="shared" si="13"/>
        <v/>
      </c>
      <c r="E16" s="413" t="str">
        <f t="shared" si="4"/>
        <v/>
      </c>
      <c r="F16" s="354" t="str">
        <f t="shared" si="14"/>
        <v/>
      </c>
      <c r="G16" s="339" t="str">
        <f t="shared" si="15"/>
        <v/>
      </c>
      <c r="H16" s="339" t="str">
        <f t="shared" si="16"/>
        <v/>
      </c>
      <c r="I16" s="352" t="str">
        <f t="shared" si="17"/>
        <v/>
      </c>
      <c r="J16" s="352" t="str">
        <f t="shared" si="18"/>
        <v/>
      </c>
      <c r="K16" s="352" t="str">
        <f t="shared" si="19"/>
        <v/>
      </c>
      <c r="L16" s="355" t="str">
        <f t="shared" si="20"/>
        <v/>
      </c>
      <c r="M16" s="356"/>
      <c r="N16" s="357"/>
      <c r="O16" s="357"/>
      <c r="P16" s="358"/>
      <c r="Q16" s="414"/>
      <c r="R16" s="376"/>
      <c r="S16" s="376"/>
      <c r="T16" s="376"/>
      <c r="U16" s="376"/>
      <c r="V16" s="376"/>
      <c r="W16" s="376"/>
      <c r="X16" s="375"/>
      <c r="Y16" s="377"/>
    </row>
    <row r="17">
      <c r="A17" s="351">
        <v>14.0</v>
      </c>
      <c r="B17" s="352" t="str">
        <f t="shared" si="12"/>
        <v/>
      </c>
      <c r="C17" s="337" t="str">
        <f t="shared" si="2"/>
        <v/>
      </c>
      <c r="D17" s="412" t="str">
        <f t="shared" si="13"/>
        <v/>
      </c>
      <c r="E17" s="413" t="str">
        <f t="shared" si="4"/>
        <v/>
      </c>
      <c r="F17" s="354" t="str">
        <f t="shared" si="14"/>
        <v/>
      </c>
      <c r="G17" s="339" t="str">
        <f t="shared" si="15"/>
        <v/>
      </c>
      <c r="H17" s="339" t="str">
        <f t="shared" si="16"/>
        <v/>
      </c>
      <c r="I17" s="352" t="str">
        <f t="shared" si="17"/>
        <v/>
      </c>
      <c r="J17" s="352" t="str">
        <f t="shared" si="18"/>
        <v/>
      </c>
      <c r="K17" s="352" t="str">
        <f t="shared" si="19"/>
        <v/>
      </c>
      <c r="L17" s="355" t="str">
        <f t="shared" si="20"/>
        <v/>
      </c>
      <c r="M17" s="356"/>
      <c r="N17" s="357"/>
      <c r="O17" s="357"/>
      <c r="P17" s="358"/>
      <c r="Q17" s="415"/>
      <c r="R17" s="369"/>
      <c r="S17" s="369"/>
      <c r="T17" s="369"/>
      <c r="U17" s="369"/>
      <c r="V17" s="369"/>
      <c r="W17" s="369"/>
      <c r="X17" s="368"/>
      <c r="Y17" s="371"/>
    </row>
    <row r="18">
      <c r="A18" s="351">
        <v>15.0</v>
      </c>
      <c r="B18" s="352" t="str">
        <f t="shared" si="12"/>
        <v/>
      </c>
      <c r="C18" s="337" t="str">
        <f t="shared" si="2"/>
        <v/>
      </c>
      <c r="D18" s="412" t="str">
        <f t="shared" si="13"/>
        <v/>
      </c>
      <c r="E18" s="413" t="str">
        <f t="shared" si="4"/>
        <v/>
      </c>
      <c r="F18" s="354" t="str">
        <f t="shared" si="14"/>
        <v/>
      </c>
      <c r="G18" s="339" t="str">
        <f t="shared" si="15"/>
        <v/>
      </c>
      <c r="H18" s="339" t="str">
        <f t="shared" si="16"/>
        <v/>
      </c>
      <c r="I18" s="352" t="str">
        <f t="shared" si="17"/>
        <v/>
      </c>
      <c r="J18" s="352" t="str">
        <f t="shared" si="18"/>
        <v/>
      </c>
      <c r="K18" s="352" t="str">
        <f t="shared" si="19"/>
        <v/>
      </c>
      <c r="L18" s="355" t="str">
        <f t="shared" si="20"/>
        <v/>
      </c>
      <c r="M18" s="356"/>
      <c r="N18" s="357"/>
      <c r="O18" s="357"/>
      <c r="P18" s="358"/>
      <c r="Q18" s="414"/>
      <c r="R18" s="376"/>
      <c r="S18" s="376"/>
      <c r="T18" s="376"/>
      <c r="U18" s="376"/>
      <c r="V18" s="376"/>
      <c r="W18" s="376"/>
      <c r="X18" s="375"/>
      <c r="Y18" s="377"/>
    </row>
    <row r="19">
      <c r="A19" s="351">
        <v>16.0</v>
      </c>
      <c r="B19" s="352" t="str">
        <f t="shared" si="12"/>
        <v/>
      </c>
      <c r="C19" s="337" t="str">
        <f t="shared" si="2"/>
        <v/>
      </c>
      <c r="D19" s="412" t="str">
        <f t="shared" si="13"/>
        <v/>
      </c>
      <c r="E19" s="413" t="str">
        <f t="shared" si="4"/>
        <v/>
      </c>
      <c r="F19" s="354" t="str">
        <f t="shared" si="14"/>
        <v/>
      </c>
      <c r="G19" s="339" t="str">
        <f t="shared" si="15"/>
        <v/>
      </c>
      <c r="H19" s="339" t="str">
        <f t="shared" si="16"/>
        <v/>
      </c>
      <c r="I19" s="352" t="str">
        <f t="shared" si="17"/>
        <v/>
      </c>
      <c r="J19" s="352" t="str">
        <f t="shared" si="18"/>
        <v/>
      </c>
      <c r="K19" s="352" t="str">
        <f t="shared" si="19"/>
        <v/>
      </c>
      <c r="L19" s="355" t="str">
        <f t="shared" si="20"/>
        <v/>
      </c>
      <c r="M19" s="356"/>
      <c r="N19" s="357"/>
      <c r="O19" s="357"/>
      <c r="P19" s="358"/>
      <c r="Q19" s="415"/>
      <c r="R19" s="369"/>
      <c r="S19" s="369"/>
      <c r="T19" s="369"/>
      <c r="U19" s="369"/>
      <c r="V19" s="369"/>
      <c r="W19" s="369"/>
      <c r="X19" s="368"/>
      <c r="Y19" s="371"/>
    </row>
    <row r="20">
      <c r="A20" s="351">
        <v>17.0</v>
      </c>
      <c r="B20" s="352" t="str">
        <f t="shared" si="12"/>
        <v/>
      </c>
      <c r="C20" s="337" t="str">
        <f t="shared" si="2"/>
        <v/>
      </c>
      <c r="D20" s="412" t="str">
        <f t="shared" si="13"/>
        <v/>
      </c>
      <c r="E20" s="413" t="str">
        <f t="shared" si="4"/>
        <v/>
      </c>
      <c r="F20" s="354" t="str">
        <f t="shared" si="14"/>
        <v/>
      </c>
      <c r="G20" s="339" t="str">
        <f t="shared" si="15"/>
        <v/>
      </c>
      <c r="H20" s="339" t="str">
        <f t="shared" si="16"/>
        <v/>
      </c>
      <c r="I20" s="352" t="str">
        <f t="shared" si="17"/>
        <v/>
      </c>
      <c r="J20" s="352" t="str">
        <f t="shared" si="18"/>
        <v/>
      </c>
      <c r="K20" s="352" t="str">
        <f t="shared" si="19"/>
        <v/>
      </c>
      <c r="L20" s="355" t="str">
        <f t="shared" si="20"/>
        <v/>
      </c>
      <c r="M20" s="356"/>
      <c r="N20" s="357"/>
      <c r="O20" s="357"/>
      <c r="P20" s="358"/>
      <c r="Q20" s="414"/>
      <c r="R20" s="376"/>
      <c r="S20" s="376"/>
      <c r="T20" s="376"/>
      <c r="U20" s="376"/>
      <c r="V20" s="376"/>
      <c r="W20" s="376"/>
      <c r="X20" s="375"/>
      <c r="Y20" s="377"/>
    </row>
    <row r="21">
      <c r="A21" s="351">
        <v>18.0</v>
      </c>
      <c r="B21" s="352" t="str">
        <f t="shared" si="12"/>
        <v/>
      </c>
      <c r="C21" s="337" t="str">
        <f t="shared" si="2"/>
        <v/>
      </c>
      <c r="D21" s="412" t="str">
        <f t="shared" si="13"/>
        <v/>
      </c>
      <c r="E21" s="413" t="str">
        <f t="shared" si="4"/>
        <v/>
      </c>
      <c r="F21" s="354" t="str">
        <f t="shared" si="14"/>
        <v/>
      </c>
      <c r="G21" s="339" t="str">
        <f t="shared" si="15"/>
        <v/>
      </c>
      <c r="H21" s="339" t="str">
        <f t="shared" si="16"/>
        <v/>
      </c>
      <c r="I21" s="352" t="str">
        <f t="shared" si="17"/>
        <v/>
      </c>
      <c r="J21" s="352" t="str">
        <f t="shared" si="18"/>
        <v/>
      </c>
      <c r="K21" s="352" t="str">
        <f t="shared" si="19"/>
        <v/>
      </c>
      <c r="L21" s="355" t="str">
        <f t="shared" si="20"/>
        <v/>
      </c>
      <c r="M21" s="356"/>
      <c r="N21" s="357"/>
      <c r="O21" s="357"/>
      <c r="P21" s="358"/>
      <c r="Q21" s="415"/>
      <c r="R21" s="369"/>
      <c r="S21" s="369"/>
      <c r="T21" s="369"/>
      <c r="U21" s="369"/>
      <c r="V21" s="369"/>
      <c r="W21" s="369"/>
      <c r="X21" s="368"/>
      <c r="Y21" s="371"/>
    </row>
    <row r="22">
      <c r="A22" s="351">
        <v>19.0</v>
      </c>
      <c r="B22" s="352" t="str">
        <f t="shared" si="12"/>
        <v/>
      </c>
      <c r="C22" s="337" t="str">
        <f t="shared" si="2"/>
        <v/>
      </c>
      <c r="D22" s="412" t="str">
        <f t="shared" si="13"/>
        <v/>
      </c>
      <c r="E22" s="413" t="str">
        <f t="shared" si="4"/>
        <v/>
      </c>
      <c r="F22" s="354" t="str">
        <f t="shared" si="14"/>
        <v/>
      </c>
      <c r="G22" s="339" t="str">
        <f t="shared" si="15"/>
        <v/>
      </c>
      <c r="H22" s="339" t="str">
        <f t="shared" si="16"/>
        <v/>
      </c>
      <c r="I22" s="352" t="str">
        <f t="shared" si="17"/>
        <v/>
      </c>
      <c r="J22" s="352" t="str">
        <f t="shared" si="18"/>
        <v/>
      </c>
      <c r="K22" s="352" t="str">
        <f t="shared" si="19"/>
        <v/>
      </c>
      <c r="L22" s="355" t="str">
        <f t="shared" si="20"/>
        <v/>
      </c>
      <c r="M22" s="356"/>
      <c r="N22" s="357"/>
      <c r="O22" s="357"/>
      <c r="P22" s="358"/>
      <c r="Q22" s="414"/>
      <c r="R22" s="376"/>
      <c r="S22" s="376"/>
      <c r="T22" s="376"/>
      <c r="U22" s="376"/>
      <c r="V22" s="376"/>
      <c r="W22" s="376"/>
      <c r="X22" s="375"/>
      <c r="Y22" s="377"/>
    </row>
    <row r="23">
      <c r="A23" s="351">
        <v>20.0</v>
      </c>
      <c r="B23" s="352" t="str">
        <f t="shared" si="12"/>
        <v/>
      </c>
      <c r="C23" s="337" t="str">
        <f t="shared" si="2"/>
        <v/>
      </c>
      <c r="D23" s="412" t="str">
        <f t="shared" si="13"/>
        <v/>
      </c>
      <c r="E23" s="413" t="str">
        <f t="shared" si="4"/>
        <v/>
      </c>
      <c r="F23" s="354" t="str">
        <f t="shared" si="14"/>
        <v/>
      </c>
      <c r="G23" s="339" t="str">
        <f t="shared" si="15"/>
        <v/>
      </c>
      <c r="H23" s="339" t="str">
        <f t="shared" si="16"/>
        <v/>
      </c>
      <c r="I23" s="352" t="str">
        <f t="shared" si="17"/>
        <v/>
      </c>
      <c r="J23" s="352" t="str">
        <f t="shared" si="18"/>
        <v/>
      </c>
      <c r="K23" s="352" t="str">
        <f t="shared" si="19"/>
        <v/>
      </c>
      <c r="L23" s="355" t="str">
        <f t="shared" si="20"/>
        <v/>
      </c>
      <c r="M23" s="356"/>
      <c r="N23" s="357"/>
      <c r="O23" s="357"/>
      <c r="P23" s="358"/>
      <c r="Q23" s="415"/>
      <c r="R23" s="369"/>
      <c r="S23" s="369"/>
      <c r="T23" s="369"/>
      <c r="U23" s="369"/>
      <c r="V23" s="369"/>
      <c r="W23" s="369"/>
      <c r="X23" s="368"/>
      <c r="Y23" s="371"/>
    </row>
    <row r="24">
      <c r="A24" s="351">
        <v>21.0</v>
      </c>
      <c r="B24" s="352" t="str">
        <f t="shared" si="12"/>
        <v/>
      </c>
      <c r="C24" s="337" t="str">
        <f t="shared" si="2"/>
        <v/>
      </c>
      <c r="D24" s="412" t="str">
        <f t="shared" si="13"/>
        <v/>
      </c>
      <c r="E24" s="413" t="str">
        <f t="shared" si="4"/>
        <v/>
      </c>
      <c r="F24" s="354" t="str">
        <f t="shared" si="14"/>
        <v/>
      </c>
      <c r="G24" s="339" t="str">
        <f t="shared" si="15"/>
        <v/>
      </c>
      <c r="H24" s="339" t="str">
        <f t="shared" si="16"/>
        <v/>
      </c>
      <c r="I24" s="352" t="str">
        <f t="shared" si="17"/>
        <v/>
      </c>
      <c r="J24" s="352" t="str">
        <f t="shared" si="18"/>
        <v/>
      </c>
      <c r="K24" s="352" t="str">
        <f t="shared" si="19"/>
        <v/>
      </c>
      <c r="L24" s="355" t="str">
        <f t="shared" si="20"/>
        <v/>
      </c>
      <c r="M24" s="356"/>
      <c r="N24" s="357"/>
      <c r="O24" s="357"/>
      <c r="P24" s="358"/>
      <c r="Q24" s="414"/>
      <c r="R24" s="376"/>
      <c r="S24" s="376"/>
      <c r="T24" s="376"/>
      <c r="U24" s="376"/>
      <c r="V24" s="376"/>
      <c r="W24" s="376"/>
      <c r="X24" s="375"/>
      <c r="Y24" s="377"/>
    </row>
    <row r="25">
      <c r="A25" s="351">
        <v>22.0</v>
      </c>
      <c r="B25" s="352" t="str">
        <f t="shared" si="12"/>
        <v/>
      </c>
      <c r="C25" s="337" t="str">
        <f t="shared" si="2"/>
        <v/>
      </c>
      <c r="D25" s="412" t="str">
        <f t="shared" si="13"/>
        <v/>
      </c>
      <c r="E25" s="413" t="str">
        <f t="shared" si="4"/>
        <v/>
      </c>
      <c r="F25" s="354" t="str">
        <f t="shared" si="14"/>
        <v/>
      </c>
      <c r="G25" s="339" t="str">
        <f t="shared" si="15"/>
        <v/>
      </c>
      <c r="H25" s="339" t="str">
        <f t="shared" si="16"/>
        <v/>
      </c>
      <c r="I25" s="352" t="str">
        <f t="shared" si="17"/>
        <v/>
      </c>
      <c r="J25" s="352" t="str">
        <f t="shared" si="18"/>
        <v/>
      </c>
      <c r="K25" s="352" t="str">
        <f t="shared" si="19"/>
        <v/>
      </c>
      <c r="L25" s="355" t="str">
        <f t="shared" si="20"/>
        <v/>
      </c>
      <c r="M25" s="356"/>
      <c r="N25" s="357"/>
      <c r="O25" s="357"/>
      <c r="P25" s="358"/>
      <c r="Q25" s="415"/>
      <c r="R25" s="369"/>
      <c r="S25" s="369"/>
      <c r="T25" s="368"/>
      <c r="U25" s="369"/>
      <c r="V25" s="369"/>
      <c r="W25" s="369"/>
      <c r="X25" s="368"/>
      <c r="Y25" s="371"/>
    </row>
    <row r="26">
      <c r="A26" s="351">
        <v>23.0</v>
      </c>
      <c r="B26" s="352" t="str">
        <f t="shared" si="12"/>
        <v/>
      </c>
      <c r="C26" s="337" t="str">
        <f t="shared" si="2"/>
        <v/>
      </c>
      <c r="D26" s="412" t="str">
        <f t="shared" si="13"/>
        <v/>
      </c>
      <c r="E26" s="413" t="str">
        <f t="shared" si="4"/>
        <v/>
      </c>
      <c r="F26" s="354" t="str">
        <f t="shared" si="14"/>
        <v/>
      </c>
      <c r="G26" s="339" t="str">
        <f t="shared" si="15"/>
        <v/>
      </c>
      <c r="H26" s="339" t="str">
        <f t="shared" si="16"/>
        <v/>
      </c>
      <c r="I26" s="352" t="str">
        <f t="shared" si="17"/>
        <v/>
      </c>
      <c r="J26" s="352" t="str">
        <f t="shared" si="18"/>
        <v/>
      </c>
      <c r="K26" s="352" t="str">
        <f t="shared" si="19"/>
        <v/>
      </c>
      <c r="L26" s="355" t="str">
        <f t="shared" si="20"/>
        <v/>
      </c>
      <c r="M26" s="356"/>
      <c r="N26" s="357"/>
      <c r="O26" s="357"/>
      <c r="P26" s="358"/>
      <c r="Q26" s="414"/>
      <c r="R26" s="376"/>
      <c r="S26" s="376"/>
      <c r="T26" s="376"/>
      <c r="U26" s="376"/>
      <c r="V26" s="376"/>
      <c r="W26" s="376"/>
      <c r="X26" s="375"/>
      <c r="Y26" s="377"/>
    </row>
    <row r="27">
      <c r="A27" s="351">
        <v>24.0</v>
      </c>
      <c r="B27" s="352" t="str">
        <f t="shared" si="12"/>
        <v/>
      </c>
      <c r="C27" s="337" t="str">
        <f t="shared" si="2"/>
        <v/>
      </c>
      <c r="D27" s="412" t="str">
        <f t="shared" si="13"/>
        <v/>
      </c>
      <c r="E27" s="413" t="str">
        <f t="shared" si="4"/>
        <v/>
      </c>
      <c r="F27" s="354" t="str">
        <f t="shared" si="14"/>
        <v/>
      </c>
      <c r="G27" s="339" t="str">
        <f t="shared" si="15"/>
        <v/>
      </c>
      <c r="H27" s="339" t="str">
        <f t="shared" si="16"/>
        <v/>
      </c>
      <c r="I27" s="352" t="str">
        <f t="shared" si="17"/>
        <v/>
      </c>
      <c r="J27" s="352" t="str">
        <f t="shared" si="18"/>
        <v/>
      </c>
      <c r="K27" s="352" t="str">
        <f t="shared" si="19"/>
        <v/>
      </c>
      <c r="L27" s="355" t="str">
        <f t="shared" si="20"/>
        <v/>
      </c>
      <c r="M27" s="356"/>
      <c r="N27" s="357"/>
      <c r="O27" s="357"/>
      <c r="P27" s="358"/>
      <c r="Q27" s="415"/>
      <c r="R27" s="369"/>
      <c r="S27" s="369"/>
      <c r="T27" s="369"/>
      <c r="U27" s="369"/>
      <c r="V27" s="369"/>
      <c r="W27" s="369"/>
      <c r="X27" s="368"/>
      <c r="Y27" s="371"/>
    </row>
    <row r="28">
      <c r="A28" s="351">
        <v>25.0</v>
      </c>
      <c r="B28" s="352" t="str">
        <f t="shared" si="12"/>
        <v/>
      </c>
      <c r="C28" s="337" t="str">
        <f t="shared" si="2"/>
        <v/>
      </c>
      <c r="D28" s="412" t="str">
        <f t="shared" si="13"/>
        <v/>
      </c>
      <c r="E28" s="413" t="str">
        <f t="shared" si="4"/>
        <v/>
      </c>
      <c r="F28" s="354" t="str">
        <f t="shared" si="14"/>
        <v/>
      </c>
      <c r="G28" s="339" t="str">
        <f t="shared" si="15"/>
        <v/>
      </c>
      <c r="H28" s="339" t="str">
        <f t="shared" si="16"/>
        <v/>
      </c>
      <c r="I28" s="352" t="str">
        <f t="shared" si="17"/>
        <v/>
      </c>
      <c r="J28" s="352" t="str">
        <f t="shared" si="18"/>
        <v/>
      </c>
      <c r="K28" s="352" t="str">
        <f t="shared" si="19"/>
        <v/>
      </c>
      <c r="L28" s="355" t="str">
        <f t="shared" si="20"/>
        <v/>
      </c>
      <c r="M28" s="356"/>
      <c r="N28" s="357"/>
      <c r="O28" s="357"/>
      <c r="P28" s="358"/>
      <c r="Q28" s="414"/>
      <c r="R28" s="376"/>
      <c r="S28" s="376"/>
      <c r="T28" s="376"/>
      <c r="U28" s="376"/>
      <c r="V28" s="376"/>
      <c r="W28" s="376"/>
      <c r="X28" s="375"/>
      <c r="Y28" s="377"/>
    </row>
    <row r="29">
      <c r="A29" s="351">
        <v>26.0</v>
      </c>
      <c r="B29" s="352" t="str">
        <f t="shared" si="12"/>
        <v/>
      </c>
      <c r="C29" s="337" t="str">
        <f t="shared" si="2"/>
        <v/>
      </c>
      <c r="D29" s="412" t="str">
        <f t="shared" si="13"/>
        <v/>
      </c>
      <c r="E29" s="413" t="str">
        <f t="shared" si="4"/>
        <v/>
      </c>
      <c r="F29" s="354" t="str">
        <f t="shared" si="14"/>
        <v/>
      </c>
      <c r="G29" s="339" t="str">
        <f t="shared" si="15"/>
        <v/>
      </c>
      <c r="H29" s="339" t="str">
        <f t="shared" si="16"/>
        <v/>
      </c>
      <c r="I29" s="352" t="str">
        <f t="shared" si="17"/>
        <v/>
      </c>
      <c r="J29" s="352" t="str">
        <f t="shared" si="18"/>
        <v/>
      </c>
      <c r="K29" s="352" t="str">
        <f t="shared" si="19"/>
        <v/>
      </c>
      <c r="L29" s="355" t="str">
        <f t="shared" si="20"/>
        <v/>
      </c>
      <c r="M29" s="356"/>
      <c r="N29" s="357"/>
      <c r="O29" s="357"/>
      <c r="P29" s="358"/>
      <c r="Q29" s="415"/>
      <c r="R29" s="369"/>
      <c r="S29" s="369"/>
      <c r="T29" s="369"/>
      <c r="U29" s="369"/>
      <c r="V29" s="369"/>
      <c r="W29" s="369"/>
      <c r="X29" s="368"/>
      <c r="Y29" s="371"/>
    </row>
    <row r="30">
      <c r="A30" s="351">
        <v>27.0</v>
      </c>
      <c r="B30" s="352" t="str">
        <f t="shared" si="12"/>
        <v/>
      </c>
      <c r="C30" s="337" t="str">
        <f t="shared" si="2"/>
        <v/>
      </c>
      <c r="D30" s="412" t="str">
        <f t="shared" si="13"/>
        <v/>
      </c>
      <c r="E30" s="413" t="str">
        <f t="shared" si="4"/>
        <v/>
      </c>
      <c r="F30" s="354" t="str">
        <f t="shared" si="14"/>
        <v/>
      </c>
      <c r="G30" s="339" t="str">
        <f t="shared" si="15"/>
        <v/>
      </c>
      <c r="H30" s="339" t="str">
        <f t="shared" si="16"/>
        <v/>
      </c>
      <c r="I30" s="352" t="str">
        <f t="shared" si="17"/>
        <v/>
      </c>
      <c r="J30" s="352" t="str">
        <f t="shared" si="18"/>
        <v/>
      </c>
      <c r="K30" s="352" t="str">
        <f t="shared" si="19"/>
        <v/>
      </c>
      <c r="L30" s="355" t="str">
        <f t="shared" si="20"/>
        <v/>
      </c>
      <c r="M30" s="356"/>
      <c r="N30" s="357"/>
      <c r="O30" s="357"/>
      <c r="P30" s="358"/>
      <c r="Q30" s="414"/>
      <c r="R30" s="376"/>
      <c r="S30" s="376"/>
      <c r="T30" s="376"/>
      <c r="U30" s="376"/>
      <c r="V30" s="376"/>
      <c r="W30" s="376"/>
      <c r="X30" s="375"/>
      <c r="Y30" s="377"/>
    </row>
    <row r="31">
      <c r="A31" s="351">
        <v>28.0</v>
      </c>
      <c r="B31" s="352" t="str">
        <f t="shared" si="12"/>
        <v/>
      </c>
      <c r="C31" s="337" t="str">
        <f t="shared" si="2"/>
        <v/>
      </c>
      <c r="D31" s="412" t="str">
        <f t="shared" si="13"/>
        <v/>
      </c>
      <c r="E31" s="413" t="str">
        <f t="shared" si="4"/>
        <v/>
      </c>
      <c r="F31" s="354" t="str">
        <f t="shared" si="14"/>
        <v/>
      </c>
      <c r="G31" s="339" t="str">
        <f t="shared" si="15"/>
        <v/>
      </c>
      <c r="H31" s="339" t="str">
        <f t="shared" si="16"/>
        <v/>
      </c>
      <c r="I31" s="352" t="str">
        <f t="shared" si="17"/>
        <v/>
      </c>
      <c r="J31" s="352" t="str">
        <f t="shared" si="18"/>
        <v/>
      </c>
      <c r="K31" s="352" t="str">
        <f t="shared" si="19"/>
        <v/>
      </c>
      <c r="L31" s="355" t="str">
        <f t="shared" si="20"/>
        <v/>
      </c>
      <c r="M31" s="356"/>
      <c r="N31" s="357"/>
      <c r="O31" s="357"/>
      <c r="P31" s="358"/>
      <c r="Q31" s="415"/>
      <c r="R31" s="369"/>
      <c r="S31" s="369"/>
      <c r="T31" s="369"/>
      <c r="U31" s="369"/>
      <c r="V31" s="369"/>
      <c r="W31" s="369"/>
      <c r="X31" s="368"/>
      <c r="Y31" s="371"/>
    </row>
    <row r="32">
      <c r="A32" s="351">
        <v>29.0</v>
      </c>
      <c r="B32" s="352" t="str">
        <f t="shared" si="12"/>
        <v/>
      </c>
      <c r="C32" s="337" t="str">
        <f t="shared" si="2"/>
        <v/>
      </c>
      <c r="D32" s="412" t="str">
        <f t="shared" si="13"/>
        <v/>
      </c>
      <c r="E32" s="413" t="str">
        <f t="shared" si="4"/>
        <v/>
      </c>
      <c r="F32" s="354" t="str">
        <f t="shared" si="14"/>
        <v/>
      </c>
      <c r="G32" s="339" t="str">
        <f t="shared" si="15"/>
        <v/>
      </c>
      <c r="H32" s="339" t="str">
        <f t="shared" si="16"/>
        <v/>
      </c>
      <c r="I32" s="352" t="str">
        <f t="shared" si="17"/>
        <v/>
      </c>
      <c r="J32" s="352" t="str">
        <f t="shared" si="18"/>
        <v/>
      </c>
      <c r="K32" s="352" t="str">
        <f t="shared" si="19"/>
        <v/>
      </c>
      <c r="L32" s="355" t="str">
        <f t="shared" si="20"/>
        <v/>
      </c>
      <c r="M32" s="356"/>
      <c r="N32" s="357"/>
      <c r="O32" s="357"/>
      <c r="P32" s="358"/>
      <c r="Q32" s="414"/>
      <c r="R32" s="376"/>
      <c r="S32" s="376"/>
      <c r="T32" s="376"/>
      <c r="U32" s="376"/>
      <c r="V32" s="376"/>
      <c r="W32" s="376"/>
      <c r="X32" s="375"/>
      <c r="Y32" s="377"/>
    </row>
    <row r="33">
      <c r="A33" s="351">
        <v>30.0</v>
      </c>
      <c r="B33" s="352" t="str">
        <f t="shared" si="12"/>
        <v/>
      </c>
      <c r="C33" s="337" t="str">
        <f t="shared" si="2"/>
        <v/>
      </c>
      <c r="D33" s="412" t="str">
        <f t="shared" si="13"/>
        <v/>
      </c>
      <c r="E33" s="413" t="str">
        <f t="shared" si="4"/>
        <v/>
      </c>
      <c r="F33" s="354" t="str">
        <f t="shared" si="14"/>
        <v/>
      </c>
      <c r="G33" s="339" t="str">
        <f t="shared" si="15"/>
        <v/>
      </c>
      <c r="H33" s="339" t="str">
        <f t="shared" si="16"/>
        <v/>
      </c>
      <c r="I33" s="352" t="str">
        <f t="shared" si="17"/>
        <v/>
      </c>
      <c r="J33" s="352" t="str">
        <f t="shared" si="18"/>
        <v/>
      </c>
      <c r="K33" s="352" t="str">
        <f t="shared" si="19"/>
        <v/>
      </c>
      <c r="L33" s="355" t="str">
        <f t="shared" si="20"/>
        <v/>
      </c>
      <c r="M33" s="356"/>
      <c r="N33" s="357"/>
      <c r="O33" s="357"/>
      <c r="P33" s="358"/>
      <c r="Q33" s="415"/>
      <c r="R33" s="369"/>
      <c r="S33" s="369"/>
      <c r="T33" s="369"/>
      <c r="U33" s="369"/>
      <c r="V33" s="369"/>
      <c r="W33" s="369"/>
      <c r="X33" s="368"/>
      <c r="Y33" s="371"/>
    </row>
    <row r="34">
      <c r="A34" s="351">
        <v>31.0</v>
      </c>
      <c r="B34" s="352" t="str">
        <f t="shared" si="12"/>
        <v/>
      </c>
      <c r="C34" s="337" t="str">
        <f t="shared" si="2"/>
        <v/>
      </c>
      <c r="D34" s="412" t="str">
        <f t="shared" si="13"/>
        <v/>
      </c>
      <c r="E34" s="413" t="str">
        <f t="shared" si="4"/>
        <v/>
      </c>
      <c r="F34" s="354" t="str">
        <f t="shared" si="14"/>
        <v/>
      </c>
      <c r="G34" s="339" t="str">
        <f t="shared" si="15"/>
        <v/>
      </c>
      <c r="H34" s="339" t="str">
        <f t="shared" si="16"/>
        <v/>
      </c>
      <c r="I34" s="352" t="str">
        <f t="shared" si="17"/>
        <v/>
      </c>
      <c r="J34" s="352" t="str">
        <f t="shared" si="18"/>
        <v/>
      </c>
      <c r="K34" s="352" t="str">
        <f t="shared" si="19"/>
        <v/>
      </c>
      <c r="L34" s="355" t="str">
        <f t="shared" si="20"/>
        <v/>
      </c>
      <c r="M34" s="356"/>
      <c r="N34" s="357"/>
      <c r="O34" s="357"/>
      <c r="P34" s="358"/>
      <c r="Q34" s="414"/>
      <c r="R34" s="376"/>
      <c r="S34" s="376"/>
      <c r="T34" s="376"/>
      <c r="U34" s="376"/>
      <c r="V34" s="376"/>
      <c r="W34" s="376"/>
      <c r="X34" s="375"/>
      <c r="Y34" s="377"/>
    </row>
    <row r="35">
      <c r="A35" s="351">
        <v>32.0</v>
      </c>
      <c r="B35" s="352" t="str">
        <f t="shared" si="12"/>
        <v/>
      </c>
      <c r="C35" s="337" t="str">
        <f t="shared" si="2"/>
        <v/>
      </c>
      <c r="D35" s="412" t="str">
        <f t="shared" si="13"/>
        <v/>
      </c>
      <c r="E35" s="413" t="str">
        <f t="shared" si="4"/>
        <v/>
      </c>
      <c r="F35" s="354" t="str">
        <f t="shared" si="14"/>
        <v/>
      </c>
      <c r="G35" s="339" t="str">
        <f t="shared" si="15"/>
        <v/>
      </c>
      <c r="H35" s="339" t="str">
        <f t="shared" si="16"/>
        <v/>
      </c>
      <c r="I35" s="352" t="str">
        <f t="shared" si="17"/>
        <v/>
      </c>
      <c r="J35" s="352" t="str">
        <f t="shared" si="18"/>
        <v/>
      </c>
      <c r="K35" s="352" t="str">
        <f t="shared" si="19"/>
        <v/>
      </c>
      <c r="L35" s="355" t="str">
        <f t="shared" si="20"/>
        <v/>
      </c>
      <c r="M35" s="356"/>
      <c r="N35" s="357"/>
      <c r="O35" s="357"/>
      <c r="P35" s="358"/>
      <c r="Q35" s="415"/>
      <c r="R35" s="369"/>
      <c r="S35" s="369"/>
      <c r="T35" s="368"/>
      <c r="U35" s="369"/>
      <c r="V35" s="369"/>
      <c r="W35" s="369"/>
      <c r="X35" s="368"/>
      <c r="Y35" s="371"/>
    </row>
    <row r="36">
      <c r="A36" s="351">
        <v>33.0</v>
      </c>
      <c r="B36" s="352" t="str">
        <f t="shared" si="12"/>
        <v/>
      </c>
      <c r="C36" s="337" t="str">
        <f t="shared" si="2"/>
        <v/>
      </c>
      <c r="D36" s="412" t="str">
        <f t="shared" si="13"/>
        <v/>
      </c>
      <c r="E36" s="413" t="str">
        <f t="shared" si="4"/>
        <v/>
      </c>
      <c r="F36" s="354" t="str">
        <f t="shared" si="14"/>
        <v/>
      </c>
      <c r="G36" s="339" t="str">
        <f t="shared" si="15"/>
        <v/>
      </c>
      <c r="H36" s="339" t="str">
        <f t="shared" si="16"/>
        <v/>
      </c>
      <c r="I36" s="352" t="str">
        <f t="shared" si="17"/>
        <v/>
      </c>
      <c r="J36" s="352" t="str">
        <f t="shared" si="18"/>
        <v/>
      </c>
      <c r="K36" s="352" t="str">
        <f t="shared" si="19"/>
        <v/>
      </c>
      <c r="L36" s="355" t="str">
        <f t="shared" si="20"/>
        <v/>
      </c>
      <c r="M36" s="356" t="s">
        <v>15</v>
      </c>
      <c r="N36" s="357" t="s">
        <v>15</v>
      </c>
      <c r="O36" s="357" t="s">
        <v>15</v>
      </c>
      <c r="P36" s="358"/>
      <c r="Q36" s="414"/>
      <c r="R36" s="376"/>
      <c r="S36" s="376"/>
      <c r="T36" s="376"/>
      <c r="U36" s="376"/>
      <c r="V36" s="376"/>
      <c r="W36" s="376"/>
      <c r="X36" s="375"/>
      <c r="Y36" s="377"/>
    </row>
    <row r="37">
      <c r="A37" s="351">
        <v>34.0</v>
      </c>
      <c r="B37" s="352" t="str">
        <f t="shared" si="12"/>
        <v/>
      </c>
      <c r="C37" s="337" t="str">
        <f t="shared" si="2"/>
        <v/>
      </c>
      <c r="D37" s="412" t="str">
        <f t="shared" si="13"/>
        <v/>
      </c>
      <c r="E37" s="413" t="str">
        <f t="shared" si="4"/>
        <v/>
      </c>
      <c r="F37" s="354" t="str">
        <f t="shared" si="14"/>
        <v/>
      </c>
      <c r="G37" s="339" t="str">
        <f t="shared" si="15"/>
        <v/>
      </c>
      <c r="H37" s="339" t="str">
        <f t="shared" si="16"/>
        <v/>
      </c>
      <c r="I37" s="352" t="str">
        <f t="shared" si="17"/>
        <v/>
      </c>
      <c r="J37" s="352" t="str">
        <f t="shared" si="18"/>
        <v/>
      </c>
      <c r="K37" s="352" t="str">
        <f t="shared" si="19"/>
        <v/>
      </c>
      <c r="L37" s="355" t="str">
        <f t="shared" si="20"/>
        <v/>
      </c>
      <c r="M37" s="356" t="s">
        <v>15</v>
      </c>
      <c r="N37" s="357" t="s">
        <v>15</v>
      </c>
      <c r="O37" s="357" t="s">
        <v>15</v>
      </c>
      <c r="P37" s="358"/>
      <c r="Q37" s="415"/>
      <c r="R37" s="369"/>
      <c r="S37" s="369"/>
      <c r="T37" s="369"/>
      <c r="U37" s="369"/>
      <c r="V37" s="369"/>
      <c r="W37" s="369"/>
      <c r="X37" s="368"/>
      <c r="Y37" s="371"/>
    </row>
    <row r="38">
      <c r="A38" s="351">
        <v>35.0</v>
      </c>
      <c r="B38" s="352" t="str">
        <f t="shared" si="12"/>
        <v/>
      </c>
      <c r="C38" s="337" t="str">
        <f t="shared" si="2"/>
        <v/>
      </c>
      <c r="D38" s="412" t="str">
        <f t="shared" si="13"/>
        <v/>
      </c>
      <c r="E38" s="413" t="str">
        <f t="shared" si="4"/>
        <v/>
      </c>
      <c r="F38" s="354" t="str">
        <f t="shared" si="14"/>
        <v/>
      </c>
      <c r="G38" s="339" t="str">
        <f t="shared" si="15"/>
        <v/>
      </c>
      <c r="H38" s="339" t="str">
        <f t="shared" si="16"/>
        <v/>
      </c>
      <c r="I38" s="352" t="str">
        <f t="shared" si="17"/>
        <v/>
      </c>
      <c r="J38" s="352" t="str">
        <f t="shared" si="18"/>
        <v/>
      </c>
      <c r="K38" s="352" t="str">
        <f t="shared" si="19"/>
        <v/>
      </c>
      <c r="L38" s="355" t="str">
        <f t="shared" si="20"/>
        <v/>
      </c>
      <c r="M38" s="356" t="s">
        <v>15</v>
      </c>
      <c r="N38" s="357" t="s">
        <v>15</v>
      </c>
      <c r="O38" s="357" t="s">
        <v>15</v>
      </c>
      <c r="P38" s="358"/>
      <c r="Q38" s="414"/>
      <c r="R38" s="376"/>
      <c r="S38" s="376"/>
      <c r="T38" s="376"/>
      <c r="U38" s="376"/>
      <c r="V38" s="376"/>
      <c r="W38" s="376"/>
      <c r="X38" s="375"/>
      <c r="Y38" s="377"/>
    </row>
    <row r="39">
      <c r="A39" s="351">
        <v>36.0</v>
      </c>
      <c r="B39" s="352" t="str">
        <f t="shared" si="12"/>
        <v/>
      </c>
      <c r="C39" s="337" t="str">
        <f t="shared" si="2"/>
        <v/>
      </c>
      <c r="D39" s="412" t="str">
        <f t="shared" si="13"/>
        <v/>
      </c>
      <c r="E39" s="413" t="str">
        <f t="shared" si="4"/>
        <v/>
      </c>
      <c r="F39" s="354" t="str">
        <f t="shared" si="14"/>
        <v/>
      </c>
      <c r="G39" s="339" t="str">
        <f t="shared" si="15"/>
        <v/>
      </c>
      <c r="H39" s="339" t="str">
        <f t="shared" si="16"/>
        <v/>
      </c>
      <c r="I39" s="352" t="str">
        <f t="shared" si="17"/>
        <v/>
      </c>
      <c r="J39" s="352" t="str">
        <f t="shared" si="18"/>
        <v/>
      </c>
      <c r="K39" s="352" t="str">
        <f t="shared" si="19"/>
        <v/>
      </c>
      <c r="L39" s="355" t="str">
        <f t="shared" si="20"/>
        <v/>
      </c>
      <c r="M39" s="356" t="s">
        <v>15</v>
      </c>
      <c r="N39" s="357" t="s">
        <v>15</v>
      </c>
      <c r="O39" s="357" t="s">
        <v>15</v>
      </c>
      <c r="P39" s="358"/>
      <c r="Q39" s="415"/>
      <c r="R39" s="369"/>
      <c r="S39" s="369"/>
      <c r="T39" s="369"/>
      <c r="U39" s="369"/>
      <c r="V39" s="369"/>
      <c r="W39" s="369"/>
      <c r="X39" s="368"/>
      <c r="Y39" s="371"/>
    </row>
    <row r="40">
      <c r="A40" s="351">
        <v>37.0</v>
      </c>
      <c r="B40" s="352" t="str">
        <f t="shared" si="12"/>
        <v/>
      </c>
      <c r="C40" s="337" t="str">
        <f t="shared" si="2"/>
        <v/>
      </c>
      <c r="D40" s="412" t="str">
        <f t="shared" si="13"/>
        <v/>
      </c>
      <c r="E40" s="413" t="str">
        <f t="shared" si="4"/>
        <v/>
      </c>
      <c r="F40" s="354" t="str">
        <f t="shared" si="14"/>
        <v/>
      </c>
      <c r="G40" s="339" t="str">
        <f t="shared" si="15"/>
        <v/>
      </c>
      <c r="H40" s="339" t="str">
        <f t="shared" si="16"/>
        <v/>
      </c>
      <c r="I40" s="352" t="str">
        <f t="shared" si="17"/>
        <v/>
      </c>
      <c r="J40" s="352" t="str">
        <f t="shared" si="18"/>
        <v/>
      </c>
      <c r="K40" s="352" t="str">
        <f t="shared" si="19"/>
        <v/>
      </c>
      <c r="L40" s="355" t="str">
        <f t="shared" si="20"/>
        <v/>
      </c>
      <c r="M40" s="356" t="s">
        <v>15</v>
      </c>
      <c r="N40" s="357" t="s">
        <v>15</v>
      </c>
      <c r="O40" s="357" t="s">
        <v>15</v>
      </c>
      <c r="P40" s="358"/>
      <c r="Q40" s="414"/>
      <c r="R40" s="376"/>
      <c r="S40" s="376"/>
      <c r="T40" s="376"/>
      <c r="U40" s="376"/>
      <c r="V40" s="376"/>
      <c r="W40" s="376"/>
      <c r="X40" s="375"/>
      <c r="Y40" s="377"/>
    </row>
    <row r="41">
      <c r="A41" s="351">
        <v>38.0</v>
      </c>
      <c r="B41" s="352" t="str">
        <f t="shared" si="12"/>
        <v/>
      </c>
      <c r="C41" s="337" t="str">
        <f t="shared" si="2"/>
        <v/>
      </c>
      <c r="D41" s="412" t="str">
        <f t="shared" si="13"/>
        <v/>
      </c>
      <c r="E41" s="413" t="str">
        <f t="shared" si="4"/>
        <v/>
      </c>
      <c r="F41" s="354" t="str">
        <f t="shared" si="14"/>
        <v/>
      </c>
      <c r="G41" s="339" t="str">
        <f t="shared" si="15"/>
        <v/>
      </c>
      <c r="H41" s="339" t="str">
        <f t="shared" si="16"/>
        <v/>
      </c>
      <c r="I41" s="352" t="str">
        <f t="shared" si="17"/>
        <v/>
      </c>
      <c r="J41" s="352" t="str">
        <f t="shared" si="18"/>
        <v/>
      </c>
      <c r="K41" s="352" t="str">
        <f t="shared" si="19"/>
        <v/>
      </c>
      <c r="L41" s="355" t="str">
        <f t="shared" si="20"/>
        <v/>
      </c>
      <c r="M41" s="356" t="s">
        <v>15</v>
      </c>
      <c r="N41" s="357" t="s">
        <v>15</v>
      </c>
      <c r="O41" s="357" t="s">
        <v>15</v>
      </c>
      <c r="P41" s="358"/>
      <c r="Q41" s="415"/>
      <c r="R41" s="369"/>
      <c r="S41" s="369"/>
      <c r="T41" s="369"/>
      <c r="U41" s="369"/>
      <c r="V41" s="369"/>
      <c r="W41" s="369"/>
      <c r="X41" s="368"/>
      <c r="Y41" s="371"/>
    </row>
    <row r="42">
      <c r="A42" s="351">
        <v>39.0</v>
      </c>
      <c r="B42" s="352" t="str">
        <f t="shared" si="12"/>
        <v/>
      </c>
      <c r="C42" s="337" t="str">
        <f t="shared" si="2"/>
        <v/>
      </c>
      <c r="D42" s="412" t="str">
        <f t="shared" si="13"/>
        <v/>
      </c>
      <c r="E42" s="413" t="str">
        <f t="shared" si="4"/>
        <v/>
      </c>
      <c r="F42" s="354" t="str">
        <f t="shared" si="14"/>
        <v/>
      </c>
      <c r="G42" s="339" t="str">
        <f t="shared" si="15"/>
        <v/>
      </c>
      <c r="H42" s="339" t="str">
        <f t="shared" si="16"/>
        <v/>
      </c>
      <c r="I42" s="352" t="str">
        <f t="shared" si="17"/>
        <v/>
      </c>
      <c r="J42" s="352" t="str">
        <f t="shared" si="18"/>
        <v/>
      </c>
      <c r="K42" s="352" t="str">
        <f t="shared" si="19"/>
        <v/>
      </c>
      <c r="L42" s="355" t="str">
        <f t="shared" si="20"/>
        <v/>
      </c>
      <c r="M42" s="356" t="s">
        <v>15</v>
      </c>
      <c r="N42" s="357" t="s">
        <v>15</v>
      </c>
      <c r="O42" s="357" t="s">
        <v>15</v>
      </c>
      <c r="P42" s="358"/>
      <c r="Q42" s="414"/>
      <c r="R42" s="376"/>
      <c r="S42" s="376"/>
      <c r="T42" s="376"/>
      <c r="U42" s="376"/>
      <c r="V42" s="376"/>
      <c r="W42" s="376"/>
      <c r="X42" s="375"/>
      <c r="Y42" s="377"/>
    </row>
    <row r="43">
      <c r="A43" s="351">
        <v>40.0</v>
      </c>
      <c r="B43" s="352" t="str">
        <f t="shared" si="12"/>
        <v/>
      </c>
      <c r="C43" s="337" t="str">
        <f t="shared" si="2"/>
        <v/>
      </c>
      <c r="D43" s="412" t="str">
        <f t="shared" si="13"/>
        <v/>
      </c>
      <c r="E43" s="413" t="str">
        <f t="shared" si="4"/>
        <v/>
      </c>
      <c r="F43" s="354" t="str">
        <f t="shared" si="14"/>
        <v/>
      </c>
      <c r="G43" s="339" t="str">
        <f t="shared" si="15"/>
        <v/>
      </c>
      <c r="H43" s="339" t="str">
        <f t="shared" si="16"/>
        <v/>
      </c>
      <c r="I43" s="352" t="str">
        <f t="shared" si="17"/>
        <v/>
      </c>
      <c r="J43" s="352" t="str">
        <f t="shared" si="18"/>
        <v/>
      </c>
      <c r="K43" s="352" t="str">
        <f t="shared" si="19"/>
        <v/>
      </c>
      <c r="L43" s="355" t="str">
        <f t="shared" si="20"/>
        <v/>
      </c>
      <c r="M43" s="356" t="s">
        <v>15</v>
      </c>
      <c r="N43" s="357" t="s">
        <v>15</v>
      </c>
      <c r="O43" s="357" t="s">
        <v>15</v>
      </c>
      <c r="P43" s="358"/>
      <c r="Q43" s="415"/>
      <c r="R43" s="369"/>
      <c r="S43" s="369"/>
      <c r="T43" s="369"/>
      <c r="U43" s="369"/>
      <c r="V43" s="369"/>
      <c r="W43" s="369"/>
      <c r="X43" s="368"/>
      <c r="Y43" s="371"/>
    </row>
    <row r="44">
      <c r="A44" s="351">
        <v>41.0</v>
      </c>
      <c r="B44" s="352" t="str">
        <f t="shared" si="12"/>
        <v/>
      </c>
      <c r="C44" s="337" t="str">
        <f t="shared" si="2"/>
        <v/>
      </c>
      <c r="D44" s="412" t="str">
        <f t="shared" si="13"/>
        <v/>
      </c>
      <c r="E44" s="413" t="str">
        <f t="shared" si="4"/>
        <v/>
      </c>
      <c r="F44" s="354" t="str">
        <f t="shared" si="14"/>
        <v/>
      </c>
      <c r="G44" s="339" t="str">
        <f t="shared" si="15"/>
        <v/>
      </c>
      <c r="H44" s="339" t="str">
        <f t="shared" si="16"/>
        <v/>
      </c>
      <c r="I44" s="352" t="str">
        <f t="shared" si="17"/>
        <v/>
      </c>
      <c r="J44" s="352" t="str">
        <f t="shared" si="18"/>
        <v/>
      </c>
      <c r="K44" s="352" t="str">
        <f t="shared" si="19"/>
        <v/>
      </c>
      <c r="L44" s="355" t="str">
        <f t="shared" si="20"/>
        <v/>
      </c>
      <c r="M44" s="356" t="s">
        <v>15</v>
      </c>
      <c r="N44" s="357" t="s">
        <v>15</v>
      </c>
      <c r="O44" s="357" t="s">
        <v>15</v>
      </c>
      <c r="P44" s="358"/>
      <c r="Q44" s="414"/>
      <c r="R44" s="376"/>
      <c r="S44" s="376"/>
      <c r="T44" s="375"/>
      <c r="U44" s="376"/>
      <c r="V44" s="376"/>
      <c r="W44" s="376"/>
      <c r="X44" s="375"/>
      <c r="Y44" s="377"/>
    </row>
    <row r="45">
      <c r="A45" s="351">
        <v>42.0</v>
      </c>
      <c r="B45" s="352" t="str">
        <f t="shared" si="12"/>
        <v/>
      </c>
      <c r="C45" s="337" t="str">
        <f t="shared" si="2"/>
        <v/>
      </c>
      <c r="D45" s="412" t="str">
        <f t="shared" si="13"/>
        <v/>
      </c>
      <c r="E45" s="413" t="str">
        <f t="shared" si="4"/>
        <v/>
      </c>
      <c r="F45" s="354" t="str">
        <f t="shared" si="14"/>
        <v/>
      </c>
      <c r="G45" s="339" t="str">
        <f t="shared" si="15"/>
        <v/>
      </c>
      <c r="H45" s="339" t="str">
        <f t="shared" si="16"/>
        <v/>
      </c>
      <c r="I45" s="352" t="str">
        <f t="shared" si="17"/>
        <v/>
      </c>
      <c r="J45" s="352" t="str">
        <f t="shared" si="18"/>
        <v/>
      </c>
      <c r="K45" s="352" t="str">
        <f t="shared" si="19"/>
        <v/>
      </c>
      <c r="L45" s="355" t="str">
        <f t="shared" si="20"/>
        <v/>
      </c>
      <c r="M45" s="356" t="s">
        <v>15</v>
      </c>
      <c r="N45" s="357" t="s">
        <v>15</v>
      </c>
      <c r="O45" s="357" t="s">
        <v>15</v>
      </c>
      <c r="P45" s="358"/>
      <c r="Q45" s="415"/>
      <c r="R45" s="369"/>
      <c r="S45" s="369"/>
      <c r="T45" s="369"/>
      <c r="U45" s="369"/>
      <c r="V45" s="369"/>
      <c r="W45" s="369"/>
      <c r="X45" s="368"/>
      <c r="Y45" s="371"/>
    </row>
    <row r="46">
      <c r="A46" s="351">
        <v>43.0</v>
      </c>
      <c r="B46" s="352" t="str">
        <f t="shared" si="12"/>
        <v/>
      </c>
      <c r="C46" s="337" t="str">
        <f t="shared" si="2"/>
        <v/>
      </c>
      <c r="D46" s="412" t="str">
        <f t="shared" si="13"/>
        <v/>
      </c>
      <c r="E46" s="413" t="str">
        <f t="shared" si="4"/>
        <v/>
      </c>
      <c r="F46" s="354" t="str">
        <f t="shared" si="14"/>
        <v/>
      </c>
      <c r="G46" s="339" t="str">
        <f t="shared" si="15"/>
        <v/>
      </c>
      <c r="H46" s="339" t="str">
        <f t="shared" si="16"/>
        <v/>
      </c>
      <c r="I46" s="352" t="str">
        <f t="shared" si="17"/>
        <v/>
      </c>
      <c r="J46" s="352" t="str">
        <f t="shared" si="18"/>
        <v/>
      </c>
      <c r="K46" s="352" t="str">
        <f t="shared" si="19"/>
        <v/>
      </c>
      <c r="L46" s="355" t="str">
        <f t="shared" si="20"/>
        <v/>
      </c>
      <c r="M46" s="356" t="s">
        <v>15</v>
      </c>
      <c r="N46" s="357" t="s">
        <v>15</v>
      </c>
      <c r="O46" s="357" t="s">
        <v>15</v>
      </c>
      <c r="P46" s="358"/>
      <c r="Q46" s="414"/>
      <c r="R46" s="376"/>
      <c r="S46" s="376"/>
      <c r="T46" s="376"/>
      <c r="U46" s="376"/>
      <c r="V46" s="376"/>
      <c r="W46" s="376"/>
      <c r="X46" s="375"/>
      <c r="Y46" s="377"/>
    </row>
    <row r="47">
      <c r="A47" s="351">
        <v>44.0</v>
      </c>
      <c r="B47" s="352" t="str">
        <f t="shared" si="12"/>
        <v/>
      </c>
      <c r="C47" s="337" t="str">
        <f t="shared" si="2"/>
        <v/>
      </c>
      <c r="D47" s="412" t="str">
        <f t="shared" si="13"/>
        <v/>
      </c>
      <c r="E47" s="413" t="str">
        <f t="shared" si="4"/>
        <v/>
      </c>
      <c r="F47" s="354" t="str">
        <f t="shared" si="14"/>
        <v/>
      </c>
      <c r="G47" s="339" t="str">
        <f t="shared" si="15"/>
        <v/>
      </c>
      <c r="H47" s="339" t="str">
        <f t="shared" si="16"/>
        <v/>
      </c>
      <c r="I47" s="352" t="str">
        <f t="shared" si="17"/>
        <v/>
      </c>
      <c r="J47" s="352" t="str">
        <f t="shared" si="18"/>
        <v/>
      </c>
      <c r="K47" s="352" t="str">
        <f t="shared" si="19"/>
        <v/>
      </c>
      <c r="L47" s="355" t="str">
        <f t="shared" si="20"/>
        <v/>
      </c>
      <c r="M47" s="356" t="s">
        <v>15</v>
      </c>
      <c r="N47" s="357" t="s">
        <v>15</v>
      </c>
      <c r="O47" s="357" t="s">
        <v>15</v>
      </c>
      <c r="P47" s="358"/>
      <c r="Q47" s="415"/>
      <c r="R47" s="369"/>
      <c r="S47" s="369"/>
      <c r="T47" s="369"/>
      <c r="U47" s="369"/>
      <c r="V47" s="369"/>
      <c r="W47" s="369"/>
      <c r="X47" s="368"/>
      <c r="Y47" s="371"/>
    </row>
    <row r="48">
      <c r="A48" s="351">
        <v>45.0</v>
      </c>
      <c r="B48" s="352" t="str">
        <f t="shared" si="12"/>
        <v/>
      </c>
      <c r="C48" s="337" t="str">
        <f t="shared" si="2"/>
        <v/>
      </c>
      <c r="D48" s="412" t="str">
        <f t="shared" si="13"/>
        <v/>
      </c>
      <c r="E48" s="413" t="str">
        <f t="shared" si="4"/>
        <v/>
      </c>
      <c r="F48" s="354" t="str">
        <f t="shared" si="14"/>
        <v/>
      </c>
      <c r="G48" s="339" t="str">
        <f t="shared" si="15"/>
        <v/>
      </c>
      <c r="H48" s="339" t="str">
        <f t="shared" si="16"/>
        <v/>
      </c>
      <c r="I48" s="352" t="str">
        <f t="shared" si="17"/>
        <v/>
      </c>
      <c r="J48" s="352" t="str">
        <f t="shared" si="18"/>
        <v/>
      </c>
      <c r="K48" s="352" t="str">
        <f t="shared" si="19"/>
        <v/>
      </c>
      <c r="L48" s="355" t="str">
        <f t="shared" si="20"/>
        <v/>
      </c>
      <c r="M48" s="356" t="s">
        <v>15</v>
      </c>
      <c r="N48" s="357" t="s">
        <v>15</v>
      </c>
      <c r="O48" s="357" t="s">
        <v>15</v>
      </c>
      <c r="P48" s="358"/>
      <c r="Q48" s="414"/>
      <c r="R48" s="376"/>
      <c r="S48" s="376"/>
      <c r="T48" s="376"/>
      <c r="U48" s="376"/>
      <c r="V48" s="376"/>
      <c r="W48" s="376"/>
      <c r="X48" s="375"/>
      <c r="Y48" s="377"/>
    </row>
    <row r="49">
      <c r="A49" s="351">
        <v>46.0</v>
      </c>
      <c r="B49" s="352" t="str">
        <f t="shared" si="12"/>
        <v/>
      </c>
      <c r="C49" s="337" t="str">
        <f t="shared" si="2"/>
        <v/>
      </c>
      <c r="D49" s="412" t="str">
        <f t="shared" si="13"/>
        <v/>
      </c>
      <c r="E49" s="413" t="str">
        <f t="shared" si="4"/>
        <v/>
      </c>
      <c r="F49" s="354" t="str">
        <f t="shared" si="14"/>
        <v/>
      </c>
      <c r="G49" s="339" t="str">
        <f t="shared" si="15"/>
        <v/>
      </c>
      <c r="H49" s="339" t="str">
        <f t="shared" si="16"/>
        <v/>
      </c>
      <c r="I49" s="352" t="str">
        <f t="shared" si="17"/>
        <v/>
      </c>
      <c r="J49" s="352" t="str">
        <f t="shared" si="18"/>
        <v/>
      </c>
      <c r="K49" s="352" t="str">
        <f t="shared" si="19"/>
        <v/>
      </c>
      <c r="L49" s="355" t="str">
        <f t="shared" si="20"/>
        <v/>
      </c>
      <c r="M49" s="356" t="s">
        <v>15</v>
      </c>
      <c r="N49" s="357" t="s">
        <v>15</v>
      </c>
      <c r="O49" s="357" t="s">
        <v>15</v>
      </c>
      <c r="P49" s="358"/>
      <c r="Q49" s="415"/>
      <c r="R49" s="369"/>
      <c r="S49" s="369"/>
      <c r="T49" s="369"/>
      <c r="U49" s="369"/>
      <c r="V49" s="369"/>
      <c r="W49" s="369"/>
      <c r="X49" s="368"/>
      <c r="Y49" s="371"/>
    </row>
    <row r="50">
      <c r="A50" s="351">
        <v>47.0</v>
      </c>
      <c r="B50" s="352" t="str">
        <f t="shared" si="12"/>
        <v/>
      </c>
      <c r="C50" s="337" t="str">
        <f t="shared" si="2"/>
        <v/>
      </c>
      <c r="D50" s="412" t="str">
        <f t="shared" si="13"/>
        <v/>
      </c>
      <c r="E50" s="413" t="str">
        <f t="shared" si="4"/>
        <v/>
      </c>
      <c r="F50" s="354" t="str">
        <f t="shared" si="14"/>
        <v/>
      </c>
      <c r="G50" s="339" t="str">
        <f t="shared" si="15"/>
        <v/>
      </c>
      <c r="H50" s="339" t="str">
        <f t="shared" si="16"/>
        <v/>
      </c>
      <c r="I50" s="352" t="str">
        <f t="shared" si="17"/>
        <v/>
      </c>
      <c r="J50" s="352" t="str">
        <f t="shared" si="18"/>
        <v/>
      </c>
      <c r="K50" s="352" t="str">
        <f t="shared" si="19"/>
        <v/>
      </c>
      <c r="L50" s="355" t="str">
        <f t="shared" si="20"/>
        <v/>
      </c>
      <c r="M50" s="356" t="s">
        <v>15</v>
      </c>
      <c r="N50" s="357" t="s">
        <v>15</v>
      </c>
      <c r="O50" s="357" t="s">
        <v>15</v>
      </c>
      <c r="P50" s="358"/>
      <c r="Q50" s="414"/>
      <c r="R50" s="376"/>
      <c r="S50" s="376"/>
      <c r="T50" s="376"/>
      <c r="U50" s="376"/>
      <c r="V50" s="376"/>
      <c r="W50" s="376"/>
      <c r="X50" s="375"/>
      <c r="Y50" s="377"/>
    </row>
    <row r="51">
      <c r="A51" s="351">
        <v>48.0</v>
      </c>
      <c r="B51" s="352" t="str">
        <f t="shared" si="12"/>
        <v/>
      </c>
      <c r="C51" s="337" t="str">
        <f t="shared" si="2"/>
        <v/>
      </c>
      <c r="D51" s="412" t="str">
        <f t="shared" si="13"/>
        <v/>
      </c>
      <c r="E51" s="413" t="str">
        <f t="shared" si="4"/>
        <v/>
      </c>
      <c r="F51" s="354" t="str">
        <f t="shared" si="14"/>
        <v/>
      </c>
      <c r="G51" s="339" t="str">
        <f t="shared" si="15"/>
        <v/>
      </c>
      <c r="H51" s="339" t="str">
        <f t="shared" si="16"/>
        <v/>
      </c>
      <c r="I51" s="352" t="str">
        <f t="shared" si="17"/>
        <v/>
      </c>
      <c r="J51" s="352" t="str">
        <f t="shared" si="18"/>
        <v/>
      </c>
      <c r="K51" s="352" t="str">
        <f t="shared" si="19"/>
        <v/>
      </c>
      <c r="L51" s="355" t="str">
        <f t="shared" si="20"/>
        <v/>
      </c>
      <c r="M51" s="356" t="s">
        <v>15</v>
      </c>
      <c r="N51" s="357" t="s">
        <v>15</v>
      </c>
      <c r="O51" s="357" t="s">
        <v>15</v>
      </c>
      <c r="P51" s="358"/>
      <c r="Q51" s="415"/>
      <c r="R51" s="369"/>
      <c r="S51" s="369"/>
      <c r="T51" s="369"/>
      <c r="U51" s="369"/>
      <c r="V51" s="369"/>
      <c r="W51" s="369"/>
      <c r="X51" s="368"/>
      <c r="Y51" s="371"/>
    </row>
    <row r="52">
      <c r="A52" s="351">
        <v>49.0</v>
      </c>
      <c r="B52" s="352" t="str">
        <f t="shared" si="12"/>
        <v/>
      </c>
      <c r="C52" s="337" t="str">
        <f t="shared" si="2"/>
        <v/>
      </c>
      <c r="D52" s="412" t="str">
        <f t="shared" si="13"/>
        <v/>
      </c>
      <c r="E52" s="413" t="str">
        <f t="shared" si="4"/>
        <v/>
      </c>
      <c r="F52" s="354" t="str">
        <f t="shared" si="14"/>
        <v/>
      </c>
      <c r="G52" s="339" t="str">
        <f t="shared" si="15"/>
        <v/>
      </c>
      <c r="H52" s="339" t="str">
        <f t="shared" si="16"/>
        <v/>
      </c>
      <c r="I52" s="352" t="str">
        <f t="shared" si="17"/>
        <v/>
      </c>
      <c r="J52" s="352" t="str">
        <f t="shared" si="18"/>
        <v/>
      </c>
      <c r="K52" s="352" t="str">
        <f t="shared" si="19"/>
        <v/>
      </c>
      <c r="L52" s="355" t="str">
        <f t="shared" si="20"/>
        <v/>
      </c>
      <c r="M52" s="356" t="s">
        <v>15</v>
      </c>
      <c r="N52" s="357" t="s">
        <v>15</v>
      </c>
      <c r="O52" s="357" t="s">
        <v>15</v>
      </c>
      <c r="P52" s="358"/>
      <c r="Q52" s="414"/>
      <c r="R52" s="376"/>
      <c r="S52" s="376"/>
      <c r="T52" s="376"/>
      <c r="U52" s="376"/>
      <c r="V52" s="376"/>
      <c r="W52" s="376"/>
      <c r="X52" s="375"/>
      <c r="Y52" s="377"/>
    </row>
    <row r="53">
      <c r="A53" s="351">
        <v>50.0</v>
      </c>
      <c r="B53" s="352" t="str">
        <f t="shared" si="12"/>
        <v/>
      </c>
      <c r="C53" s="337" t="str">
        <f t="shared" si="2"/>
        <v/>
      </c>
      <c r="D53" s="412" t="str">
        <f t="shared" si="13"/>
        <v/>
      </c>
      <c r="E53" s="413" t="str">
        <f t="shared" si="4"/>
        <v/>
      </c>
      <c r="F53" s="354" t="str">
        <f t="shared" si="14"/>
        <v/>
      </c>
      <c r="G53" s="339" t="str">
        <f t="shared" si="15"/>
        <v/>
      </c>
      <c r="H53" s="339" t="str">
        <f t="shared" si="16"/>
        <v/>
      </c>
      <c r="I53" s="352" t="str">
        <f t="shared" si="17"/>
        <v/>
      </c>
      <c r="J53" s="352" t="str">
        <f t="shared" si="18"/>
        <v/>
      </c>
      <c r="K53" s="352" t="str">
        <f t="shared" si="19"/>
        <v/>
      </c>
      <c r="L53" s="355" t="str">
        <f t="shared" si="20"/>
        <v/>
      </c>
      <c r="M53" s="356" t="s">
        <v>15</v>
      </c>
      <c r="N53" s="357" t="s">
        <v>15</v>
      </c>
      <c r="O53" s="357" t="s">
        <v>15</v>
      </c>
      <c r="P53" s="358"/>
      <c r="Q53" s="415"/>
      <c r="R53" s="369"/>
      <c r="S53" s="369"/>
      <c r="T53" s="369"/>
      <c r="U53" s="369"/>
      <c r="V53" s="369"/>
      <c r="W53" s="369"/>
      <c r="X53" s="368"/>
      <c r="Y53" s="371"/>
    </row>
    <row r="54">
      <c r="A54" s="351">
        <v>51.0</v>
      </c>
      <c r="B54" s="352" t="str">
        <f t="shared" si="12"/>
        <v/>
      </c>
      <c r="C54" s="337" t="str">
        <f t="shared" si="2"/>
        <v/>
      </c>
      <c r="D54" s="412" t="str">
        <f t="shared" si="13"/>
        <v/>
      </c>
      <c r="E54" s="413" t="str">
        <f t="shared" si="4"/>
        <v/>
      </c>
      <c r="F54" s="354" t="str">
        <f t="shared" si="14"/>
        <v/>
      </c>
      <c r="G54" s="339" t="str">
        <f t="shared" si="15"/>
        <v/>
      </c>
      <c r="H54" s="339" t="str">
        <f t="shared" si="16"/>
        <v/>
      </c>
      <c r="I54" s="352" t="str">
        <f t="shared" si="17"/>
        <v/>
      </c>
      <c r="J54" s="352" t="str">
        <f t="shared" si="18"/>
        <v/>
      </c>
      <c r="K54" s="352" t="str">
        <f t="shared" si="19"/>
        <v/>
      </c>
      <c r="L54" s="355" t="str">
        <f t="shared" si="20"/>
        <v/>
      </c>
      <c r="M54" s="356" t="s">
        <v>15</v>
      </c>
      <c r="N54" s="357" t="s">
        <v>15</v>
      </c>
      <c r="O54" s="357" t="s">
        <v>15</v>
      </c>
      <c r="P54" s="358"/>
      <c r="Q54" s="414"/>
      <c r="R54" s="376"/>
      <c r="S54" s="376"/>
      <c r="T54" s="376"/>
      <c r="U54" s="376"/>
      <c r="V54" s="376"/>
      <c r="W54" s="376"/>
      <c r="X54" s="375"/>
      <c r="Y54" s="377"/>
    </row>
    <row r="55">
      <c r="A55" s="351">
        <v>52.0</v>
      </c>
      <c r="B55" s="352" t="str">
        <f t="shared" si="12"/>
        <v/>
      </c>
      <c r="C55" s="337" t="str">
        <f t="shared" si="2"/>
        <v/>
      </c>
      <c r="D55" s="412" t="str">
        <f t="shared" si="13"/>
        <v/>
      </c>
      <c r="E55" s="413" t="str">
        <f t="shared" si="4"/>
        <v/>
      </c>
      <c r="F55" s="354" t="str">
        <f t="shared" si="14"/>
        <v/>
      </c>
      <c r="G55" s="339" t="str">
        <f t="shared" si="15"/>
        <v/>
      </c>
      <c r="H55" s="339" t="str">
        <f t="shared" si="16"/>
        <v/>
      </c>
      <c r="I55" s="352" t="str">
        <f t="shared" si="17"/>
        <v/>
      </c>
      <c r="J55" s="352" t="str">
        <f t="shared" si="18"/>
        <v/>
      </c>
      <c r="K55" s="352" t="str">
        <f t="shared" si="19"/>
        <v/>
      </c>
      <c r="L55" s="355" t="str">
        <f t="shared" si="20"/>
        <v/>
      </c>
      <c r="M55" s="356" t="s">
        <v>15</v>
      </c>
      <c r="N55" s="357" t="s">
        <v>15</v>
      </c>
      <c r="O55" s="357" t="s">
        <v>15</v>
      </c>
      <c r="P55" s="358"/>
      <c r="Q55" s="415"/>
      <c r="R55" s="369"/>
      <c r="S55" s="369"/>
      <c r="T55" s="369"/>
      <c r="U55" s="369"/>
      <c r="V55" s="369"/>
      <c r="W55" s="369"/>
      <c r="X55" s="368"/>
      <c r="Y55" s="371"/>
    </row>
    <row r="56">
      <c r="A56" s="351">
        <v>53.0</v>
      </c>
      <c r="B56" s="352" t="str">
        <f t="shared" si="12"/>
        <v/>
      </c>
      <c r="C56" s="337" t="str">
        <f t="shared" si="2"/>
        <v/>
      </c>
      <c r="D56" s="412" t="str">
        <f t="shared" si="13"/>
        <v/>
      </c>
      <c r="E56" s="413" t="str">
        <f t="shared" si="4"/>
        <v/>
      </c>
      <c r="F56" s="354" t="str">
        <f t="shared" si="14"/>
        <v/>
      </c>
      <c r="G56" s="339" t="str">
        <f t="shared" si="15"/>
        <v/>
      </c>
      <c r="H56" s="339" t="str">
        <f t="shared" si="16"/>
        <v/>
      </c>
      <c r="I56" s="352" t="str">
        <f t="shared" si="17"/>
        <v/>
      </c>
      <c r="J56" s="352" t="str">
        <f t="shared" si="18"/>
        <v/>
      </c>
      <c r="K56" s="352" t="str">
        <f t="shared" si="19"/>
        <v/>
      </c>
      <c r="L56" s="355" t="str">
        <f t="shared" si="20"/>
        <v/>
      </c>
      <c r="M56" s="356" t="s">
        <v>15</v>
      </c>
      <c r="N56" s="357" t="s">
        <v>15</v>
      </c>
      <c r="O56" s="357" t="s">
        <v>15</v>
      </c>
      <c r="P56" s="358"/>
      <c r="Q56" s="414"/>
      <c r="R56" s="376"/>
      <c r="S56" s="376"/>
      <c r="T56" s="375"/>
      <c r="U56" s="376"/>
      <c r="V56" s="376"/>
      <c r="W56" s="376"/>
      <c r="X56" s="375"/>
      <c r="Y56" s="377"/>
    </row>
    <row r="57">
      <c r="A57" s="351">
        <v>54.0</v>
      </c>
      <c r="B57" s="352" t="str">
        <f t="shared" si="12"/>
        <v/>
      </c>
      <c r="C57" s="337" t="str">
        <f t="shared" si="2"/>
        <v/>
      </c>
      <c r="D57" s="412" t="str">
        <f t="shared" si="13"/>
        <v/>
      </c>
      <c r="E57" s="413" t="str">
        <f t="shared" si="4"/>
        <v/>
      </c>
      <c r="F57" s="354" t="str">
        <f t="shared" si="14"/>
        <v/>
      </c>
      <c r="G57" s="339" t="str">
        <f t="shared" si="15"/>
        <v/>
      </c>
      <c r="H57" s="339" t="str">
        <f t="shared" si="16"/>
        <v/>
      </c>
      <c r="I57" s="352" t="str">
        <f t="shared" si="17"/>
        <v/>
      </c>
      <c r="J57" s="352" t="str">
        <f t="shared" si="18"/>
        <v/>
      </c>
      <c r="K57" s="352" t="str">
        <f t="shared" si="19"/>
        <v/>
      </c>
      <c r="L57" s="355" t="str">
        <f t="shared" si="20"/>
        <v/>
      </c>
      <c r="M57" s="356" t="s">
        <v>15</v>
      </c>
      <c r="N57" s="357" t="s">
        <v>15</v>
      </c>
      <c r="O57" s="357" t="s">
        <v>15</v>
      </c>
      <c r="P57" s="358"/>
      <c r="Q57" s="415"/>
      <c r="R57" s="369"/>
      <c r="S57" s="369"/>
      <c r="T57" s="369"/>
      <c r="U57" s="369"/>
      <c r="V57" s="369"/>
      <c r="W57" s="369"/>
      <c r="X57" s="368"/>
      <c r="Y57" s="371"/>
    </row>
    <row r="58">
      <c r="A58" s="351">
        <v>55.0</v>
      </c>
      <c r="B58" s="352" t="str">
        <f t="shared" si="12"/>
        <v/>
      </c>
      <c r="C58" s="337" t="str">
        <f t="shared" si="2"/>
        <v/>
      </c>
      <c r="D58" s="412" t="str">
        <f t="shared" si="13"/>
        <v/>
      </c>
      <c r="E58" s="413" t="str">
        <f t="shared" si="4"/>
        <v/>
      </c>
      <c r="F58" s="354" t="str">
        <f t="shared" si="14"/>
        <v/>
      </c>
      <c r="G58" s="339" t="str">
        <f t="shared" si="15"/>
        <v/>
      </c>
      <c r="H58" s="339" t="str">
        <f t="shared" si="16"/>
        <v/>
      </c>
      <c r="I58" s="352" t="str">
        <f t="shared" si="17"/>
        <v/>
      </c>
      <c r="J58" s="352" t="str">
        <f t="shared" si="18"/>
        <v/>
      </c>
      <c r="K58" s="352" t="str">
        <f t="shared" si="19"/>
        <v/>
      </c>
      <c r="L58" s="355" t="str">
        <f t="shared" si="20"/>
        <v/>
      </c>
      <c r="M58" s="356" t="s">
        <v>15</v>
      </c>
      <c r="N58" s="357" t="s">
        <v>15</v>
      </c>
      <c r="O58" s="357" t="s">
        <v>15</v>
      </c>
      <c r="P58" s="358"/>
      <c r="Q58" s="414"/>
      <c r="R58" s="376"/>
      <c r="S58" s="376"/>
      <c r="T58" s="376"/>
      <c r="U58" s="376"/>
      <c r="V58" s="376"/>
      <c r="W58" s="376"/>
      <c r="X58" s="375"/>
      <c r="Y58" s="377"/>
    </row>
    <row r="59">
      <c r="A59" s="351">
        <v>56.0</v>
      </c>
      <c r="B59" s="352" t="str">
        <f t="shared" si="12"/>
        <v/>
      </c>
      <c r="C59" s="337" t="str">
        <f t="shared" si="2"/>
        <v/>
      </c>
      <c r="D59" s="412" t="str">
        <f t="shared" si="13"/>
        <v/>
      </c>
      <c r="E59" s="413" t="str">
        <f t="shared" si="4"/>
        <v/>
      </c>
      <c r="F59" s="354" t="str">
        <f t="shared" si="14"/>
        <v/>
      </c>
      <c r="G59" s="339" t="str">
        <f t="shared" si="15"/>
        <v/>
      </c>
      <c r="H59" s="339" t="str">
        <f t="shared" si="16"/>
        <v/>
      </c>
      <c r="I59" s="352" t="str">
        <f t="shared" si="17"/>
        <v/>
      </c>
      <c r="J59" s="352" t="str">
        <f t="shared" si="18"/>
        <v/>
      </c>
      <c r="K59" s="352" t="str">
        <f t="shared" si="19"/>
        <v/>
      </c>
      <c r="L59" s="355" t="str">
        <f t="shared" si="20"/>
        <v/>
      </c>
      <c r="M59" s="356" t="s">
        <v>15</v>
      </c>
      <c r="N59" s="357" t="s">
        <v>15</v>
      </c>
      <c r="O59" s="357" t="s">
        <v>15</v>
      </c>
      <c r="P59" s="358"/>
      <c r="Q59" s="415"/>
      <c r="R59" s="369"/>
      <c r="S59" s="369"/>
      <c r="T59" s="369"/>
      <c r="U59" s="369"/>
      <c r="V59" s="369"/>
      <c r="W59" s="369"/>
      <c r="X59" s="368"/>
      <c r="Y59" s="371"/>
    </row>
    <row r="60">
      <c r="A60" s="351">
        <v>57.0</v>
      </c>
      <c r="B60" s="352" t="str">
        <f t="shared" si="12"/>
        <v/>
      </c>
      <c r="C60" s="337" t="str">
        <f t="shared" si="2"/>
        <v/>
      </c>
      <c r="D60" s="412" t="str">
        <f t="shared" si="13"/>
        <v/>
      </c>
      <c r="E60" s="413" t="str">
        <f t="shared" si="4"/>
        <v/>
      </c>
      <c r="F60" s="354" t="str">
        <f t="shared" si="14"/>
        <v/>
      </c>
      <c r="G60" s="339" t="str">
        <f t="shared" si="15"/>
        <v/>
      </c>
      <c r="H60" s="339" t="str">
        <f t="shared" si="16"/>
        <v/>
      </c>
      <c r="I60" s="352" t="str">
        <f t="shared" si="17"/>
        <v/>
      </c>
      <c r="J60" s="352" t="str">
        <f t="shared" si="18"/>
        <v/>
      </c>
      <c r="K60" s="352" t="str">
        <f t="shared" si="19"/>
        <v/>
      </c>
      <c r="L60" s="355" t="str">
        <f t="shared" si="20"/>
        <v/>
      </c>
      <c r="M60" s="356" t="s">
        <v>15</v>
      </c>
      <c r="N60" s="357" t="s">
        <v>15</v>
      </c>
      <c r="O60" s="357" t="s">
        <v>15</v>
      </c>
      <c r="P60" s="358"/>
      <c r="Q60" s="414"/>
      <c r="R60" s="376"/>
      <c r="S60" s="376"/>
      <c r="T60" s="376"/>
      <c r="U60" s="376"/>
      <c r="V60" s="376"/>
      <c r="W60" s="376"/>
      <c r="X60" s="375"/>
      <c r="Y60" s="377"/>
    </row>
    <row r="61">
      <c r="A61" s="351">
        <v>58.0</v>
      </c>
      <c r="B61" s="352" t="str">
        <f t="shared" si="12"/>
        <v/>
      </c>
      <c r="C61" s="337" t="str">
        <f t="shared" si="2"/>
        <v/>
      </c>
      <c r="D61" s="412" t="str">
        <f t="shared" si="13"/>
        <v/>
      </c>
      <c r="E61" s="413" t="str">
        <f t="shared" si="4"/>
        <v/>
      </c>
      <c r="F61" s="354" t="str">
        <f t="shared" si="14"/>
        <v/>
      </c>
      <c r="G61" s="339" t="str">
        <f t="shared" si="15"/>
        <v/>
      </c>
      <c r="H61" s="339" t="str">
        <f t="shared" si="16"/>
        <v/>
      </c>
      <c r="I61" s="352" t="str">
        <f t="shared" si="17"/>
        <v/>
      </c>
      <c r="J61" s="352" t="str">
        <f t="shared" si="18"/>
        <v/>
      </c>
      <c r="K61" s="352" t="str">
        <f t="shared" si="19"/>
        <v/>
      </c>
      <c r="L61" s="355" t="str">
        <f t="shared" si="20"/>
        <v/>
      </c>
      <c r="M61" s="356" t="s">
        <v>15</v>
      </c>
      <c r="N61" s="357" t="s">
        <v>15</v>
      </c>
      <c r="O61" s="357" t="s">
        <v>15</v>
      </c>
      <c r="P61" s="358"/>
      <c r="Q61" s="415"/>
      <c r="R61" s="369"/>
      <c r="S61" s="369"/>
      <c r="T61" s="369"/>
      <c r="U61" s="369"/>
      <c r="V61" s="369"/>
      <c r="W61" s="369"/>
      <c r="X61" s="368"/>
      <c r="Y61" s="371"/>
    </row>
    <row r="62">
      <c r="A62" s="351">
        <v>59.0</v>
      </c>
      <c r="B62" s="352" t="str">
        <f t="shared" si="12"/>
        <v/>
      </c>
      <c r="C62" s="337" t="str">
        <f t="shared" si="2"/>
        <v/>
      </c>
      <c r="D62" s="412" t="str">
        <f t="shared" si="13"/>
        <v/>
      </c>
      <c r="E62" s="413" t="str">
        <f t="shared" si="4"/>
        <v/>
      </c>
      <c r="F62" s="354" t="str">
        <f t="shared" si="14"/>
        <v/>
      </c>
      <c r="G62" s="339" t="str">
        <f t="shared" si="15"/>
        <v/>
      </c>
      <c r="H62" s="339" t="str">
        <f t="shared" si="16"/>
        <v/>
      </c>
      <c r="I62" s="352" t="str">
        <f t="shared" si="17"/>
        <v/>
      </c>
      <c r="J62" s="352" t="str">
        <f t="shared" si="18"/>
        <v/>
      </c>
      <c r="K62" s="352" t="str">
        <f t="shared" si="19"/>
        <v/>
      </c>
      <c r="L62" s="355" t="str">
        <f t="shared" si="20"/>
        <v/>
      </c>
      <c r="M62" s="356" t="s">
        <v>15</v>
      </c>
      <c r="N62" s="357" t="s">
        <v>15</v>
      </c>
      <c r="O62" s="357" t="s">
        <v>15</v>
      </c>
      <c r="P62" s="358"/>
      <c r="Q62" s="414"/>
      <c r="R62" s="376"/>
      <c r="S62" s="376"/>
      <c r="T62" s="375"/>
      <c r="U62" s="376"/>
      <c r="V62" s="376"/>
      <c r="W62" s="376"/>
      <c r="X62" s="375"/>
      <c r="Y62" s="377"/>
    </row>
    <row r="63">
      <c r="A63" s="351">
        <v>60.0</v>
      </c>
      <c r="B63" s="352" t="str">
        <f t="shared" si="12"/>
        <v/>
      </c>
      <c r="C63" s="337" t="str">
        <f t="shared" si="2"/>
        <v/>
      </c>
      <c r="D63" s="412" t="str">
        <f t="shared" si="13"/>
        <v/>
      </c>
      <c r="E63" s="413" t="str">
        <f t="shared" si="4"/>
        <v/>
      </c>
      <c r="F63" s="354" t="str">
        <f t="shared" si="14"/>
        <v/>
      </c>
      <c r="G63" s="339" t="str">
        <f t="shared" si="15"/>
        <v/>
      </c>
      <c r="H63" s="339" t="str">
        <f t="shared" si="16"/>
        <v/>
      </c>
      <c r="I63" s="352" t="str">
        <f t="shared" si="17"/>
        <v/>
      </c>
      <c r="J63" s="352" t="str">
        <f t="shared" si="18"/>
        <v/>
      </c>
      <c r="K63" s="352" t="str">
        <f t="shared" si="19"/>
        <v/>
      </c>
      <c r="L63" s="355" t="str">
        <f t="shared" si="20"/>
        <v/>
      </c>
      <c r="M63" s="356" t="s">
        <v>15</v>
      </c>
      <c r="N63" s="357" t="s">
        <v>15</v>
      </c>
      <c r="O63" s="357" t="s">
        <v>15</v>
      </c>
      <c r="P63" s="358"/>
      <c r="Q63" s="415"/>
      <c r="R63" s="369"/>
      <c r="S63" s="369"/>
      <c r="T63" s="369"/>
      <c r="U63" s="369"/>
      <c r="V63" s="369"/>
      <c r="W63" s="369"/>
      <c r="X63" s="368"/>
      <c r="Y63" s="371"/>
    </row>
    <row r="64">
      <c r="A64" s="351">
        <v>61.0</v>
      </c>
      <c r="B64" s="352" t="str">
        <f t="shared" si="12"/>
        <v/>
      </c>
      <c r="C64" s="337" t="str">
        <f t="shared" si="2"/>
        <v/>
      </c>
      <c r="D64" s="412" t="str">
        <f t="shared" si="13"/>
        <v/>
      </c>
      <c r="E64" s="413" t="str">
        <f t="shared" si="4"/>
        <v/>
      </c>
      <c r="F64" s="354" t="str">
        <f t="shared" si="14"/>
        <v/>
      </c>
      <c r="G64" s="339" t="str">
        <f t="shared" si="15"/>
        <v/>
      </c>
      <c r="H64" s="339" t="str">
        <f t="shared" si="16"/>
        <v/>
      </c>
      <c r="I64" s="352" t="str">
        <f t="shared" si="17"/>
        <v/>
      </c>
      <c r="J64" s="352" t="str">
        <f t="shared" si="18"/>
        <v/>
      </c>
      <c r="K64" s="352" t="str">
        <f t="shared" si="19"/>
        <v/>
      </c>
      <c r="L64" s="355" t="str">
        <f t="shared" si="20"/>
        <v/>
      </c>
      <c r="M64" s="356" t="s">
        <v>15</v>
      </c>
      <c r="N64" s="357" t="s">
        <v>15</v>
      </c>
      <c r="O64" s="357" t="s">
        <v>15</v>
      </c>
      <c r="P64" s="358"/>
      <c r="Q64" s="414"/>
      <c r="R64" s="376"/>
      <c r="S64" s="376"/>
      <c r="T64" s="376"/>
      <c r="U64" s="376"/>
      <c r="V64" s="376"/>
      <c r="W64" s="376"/>
      <c r="X64" s="375"/>
      <c r="Y64" s="377"/>
    </row>
    <row r="65">
      <c r="A65" s="351">
        <v>62.0</v>
      </c>
      <c r="B65" s="352" t="str">
        <f t="shared" si="12"/>
        <v/>
      </c>
      <c r="C65" s="337" t="str">
        <f t="shared" si="2"/>
        <v/>
      </c>
      <c r="D65" s="412" t="str">
        <f t="shared" si="13"/>
        <v/>
      </c>
      <c r="E65" s="413" t="str">
        <f t="shared" si="4"/>
        <v/>
      </c>
      <c r="F65" s="354" t="str">
        <f t="shared" si="14"/>
        <v/>
      </c>
      <c r="G65" s="339" t="str">
        <f t="shared" si="15"/>
        <v/>
      </c>
      <c r="H65" s="339" t="str">
        <f t="shared" si="16"/>
        <v/>
      </c>
      <c r="I65" s="352" t="str">
        <f t="shared" si="17"/>
        <v/>
      </c>
      <c r="J65" s="352" t="str">
        <f t="shared" si="18"/>
        <v/>
      </c>
      <c r="K65" s="352" t="str">
        <f t="shared" si="19"/>
        <v/>
      </c>
      <c r="L65" s="355" t="str">
        <f t="shared" si="20"/>
        <v/>
      </c>
      <c r="M65" s="356" t="s">
        <v>15</v>
      </c>
      <c r="N65" s="357" t="s">
        <v>15</v>
      </c>
      <c r="O65" s="357" t="s">
        <v>15</v>
      </c>
      <c r="P65" s="358"/>
      <c r="Q65" s="415"/>
      <c r="R65" s="369"/>
      <c r="S65" s="369"/>
      <c r="T65" s="369"/>
      <c r="U65" s="369"/>
      <c r="V65" s="369"/>
      <c r="W65" s="369"/>
      <c r="X65" s="368"/>
      <c r="Y65" s="371"/>
    </row>
    <row r="66">
      <c r="A66" s="351">
        <v>63.0</v>
      </c>
      <c r="B66" s="352" t="str">
        <f t="shared" si="12"/>
        <v/>
      </c>
      <c r="C66" s="337" t="str">
        <f t="shared" si="2"/>
        <v/>
      </c>
      <c r="D66" s="412" t="str">
        <f t="shared" si="13"/>
        <v/>
      </c>
      <c r="E66" s="413" t="str">
        <f t="shared" si="4"/>
        <v/>
      </c>
      <c r="F66" s="354" t="str">
        <f t="shared" si="14"/>
        <v/>
      </c>
      <c r="G66" s="339" t="str">
        <f t="shared" si="15"/>
        <v/>
      </c>
      <c r="H66" s="339" t="str">
        <f t="shared" si="16"/>
        <v/>
      </c>
      <c r="I66" s="352" t="str">
        <f t="shared" si="17"/>
        <v/>
      </c>
      <c r="J66" s="352" t="str">
        <f t="shared" si="18"/>
        <v/>
      </c>
      <c r="K66" s="352" t="str">
        <f t="shared" si="19"/>
        <v/>
      </c>
      <c r="L66" s="355" t="str">
        <f t="shared" si="20"/>
        <v/>
      </c>
      <c r="M66" s="356" t="s">
        <v>15</v>
      </c>
      <c r="N66" s="357" t="s">
        <v>15</v>
      </c>
      <c r="O66" s="357" t="s">
        <v>15</v>
      </c>
      <c r="P66" s="358"/>
      <c r="Q66" s="414"/>
      <c r="R66" s="376"/>
      <c r="S66" s="376"/>
      <c r="T66" s="376"/>
      <c r="U66" s="376"/>
      <c r="V66" s="376"/>
      <c r="W66" s="376"/>
      <c r="X66" s="375"/>
      <c r="Y66" s="377"/>
    </row>
    <row r="67">
      <c r="A67" s="351">
        <v>64.0</v>
      </c>
      <c r="B67" s="352" t="str">
        <f t="shared" si="12"/>
        <v/>
      </c>
      <c r="C67" s="337" t="str">
        <f t="shared" si="2"/>
        <v/>
      </c>
      <c r="D67" s="412" t="str">
        <f t="shared" si="13"/>
        <v/>
      </c>
      <c r="E67" s="413" t="str">
        <f t="shared" si="4"/>
        <v/>
      </c>
      <c r="F67" s="354" t="str">
        <f t="shared" si="14"/>
        <v/>
      </c>
      <c r="G67" s="339" t="str">
        <f t="shared" si="15"/>
        <v/>
      </c>
      <c r="H67" s="339" t="str">
        <f t="shared" si="16"/>
        <v/>
      </c>
      <c r="I67" s="352" t="str">
        <f t="shared" si="17"/>
        <v/>
      </c>
      <c r="J67" s="352" t="str">
        <f t="shared" si="18"/>
        <v/>
      </c>
      <c r="K67" s="352" t="str">
        <f t="shared" si="19"/>
        <v/>
      </c>
      <c r="L67" s="355" t="str">
        <f t="shared" si="20"/>
        <v/>
      </c>
      <c r="M67" s="356" t="s">
        <v>15</v>
      </c>
      <c r="N67" s="357" t="s">
        <v>15</v>
      </c>
      <c r="O67" s="357" t="s">
        <v>15</v>
      </c>
      <c r="P67" s="358"/>
      <c r="Q67" s="415"/>
      <c r="R67" s="369"/>
      <c r="S67" s="369"/>
      <c r="T67" s="369"/>
      <c r="U67" s="369"/>
      <c r="V67" s="369"/>
      <c r="W67" s="369"/>
      <c r="X67" s="368"/>
      <c r="Y67" s="371"/>
    </row>
    <row r="68">
      <c r="A68" s="351">
        <v>65.0</v>
      </c>
      <c r="B68" s="352" t="str">
        <f t="shared" si="12"/>
        <v/>
      </c>
      <c r="C68" s="337" t="str">
        <f t="shared" si="2"/>
        <v/>
      </c>
      <c r="D68" s="412" t="str">
        <f t="shared" si="13"/>
        <v/>
      </c>
      <c r="E68" s="413" t="str">
        <f t="shared" si="4"/>
        <v/>
      </c>
      <c r="F68" s="354" t="str">
        <f t="shared" si="14"/>
        <v/>
      </c>
      <c r="G68" s="339" t="str">
        <f t="shared" si="15"/>
        <v/>
      </c>
      <c r="H68" s="339" t="str">
        <f t="shared" si="16"/>
        <v/>
      </c>
      <c r="I68" s="352" t="str">
        <f t="shared" si="17"/>
        <v/>
      </c>
      <c r="J68" s="352" t="str">
        <f t="shared" si="18"/>
        <v/>
      </c>
      <c r="K68" s="352" t="str">
        <f t="shared" si="19"/>
        <v/>
      </c>
      <c r="L68" s="355" t="str">
        <f t="shared" si="20"/>
        <v/>
      </c>
      <c r="M68" s="356" t="s">
        <v>15</v>
      </c>
      <c r="N68" s="357" t="s">
        <v>15</v>
      </c>
      <c r="O68" s="357" t="s">
        <v>15</v>
      </c>
      <c r="P68" s="358"/>
      <c r="Q68" s="414"/>
      <c r="R68" s="376"/>
      <c r="S68" s="376"/>
      <c r="T68" s="376"/>
      <c r="U68" s="376"/>
      <c r="V68" s="376"/>
      <c r="W68" s="376"/>
      <c r="X68" s="375"/>
      <c r="Y68" s="377"/>
    </row>
    <row r="69">
      <c r="A69" s="351">
        <v>66.0</v>
      </c>
      <c r="B69" s="352" t="str">
        <f t="shared" si="12"/>
        <v/>
      </c>
      <c r="C69" s="337" t="str">
        <f t="shared" si="2"/>
        <v/>
      </c>
      <c r="D69" s="412" t="str">
        <f t="shared" si="13"/>
        <v/>
      </c>
      <c r="E69" s="413" t="str">
        <f t="shared" si="4"/>
        <v/>
      </c>
      <c r="F69" s="354" t="str">
        <f t="shared" si="14"/>
        <v/>
      </c>
      <c r="G69" s="339" t="str">
        <f t="shared" si="15"/>
        <v/>
      </c>
      <c r="H69" s="339" t="str">
        <f t="shared" si="16"/>
        <v/>
      </c>
      <c r="I69" s="352" t="str">
        <f t="shared" si="17"/>
        <v/>
      </c>
      <c r="J69" s="352" t="str">
        <f t="shared" si="18"/>
        <v/>
      </c>
      <c r="K69" s="352" t="str">
        <f t="shared" si="19"/>
        <v/>
      </c>
      <c r="L69" s="355" t="str">
        <f t="shared" si="20"/>
        <v/>
      </c>
      <c r="M69" s="356" t="s">
        <v>15</v>
      </c>
      <c r="N69" s="357" t="s">
        <v>15</v>
      </c>
      <c r="O69" s="357" t="s">
        <v>15</v>
      </c>
      <c r="P69" s="358"/>
      <c r="Q69" s="415"/>
      <c r="R69" s="369"/>
      <c r="S69" s="369"/>
      <c r="T69" s="369"/>
      <c r="U69" s="369"/>
      <c r="V69" s="369"/>
      <c r="W69" s="369"/>
      <c r="X69" s="368"/>
      <c r="Y69" s="371"/>
    </row>
    <row r="70">
      <c r="A70" s="351">
        <v>67.0</v>
      </c>
      <c r="B70" s="352" t="str">
        <f t="shared" si="12"/>
        <v/>
      </c>
      <c r="C70" s="337" t="str">
        <f t="shared" si="2"/>
        <v/>
      </c>
      <c r="D70" s="412" t="str">
        <f t="shared" si="13"/>
        <v/>
      </c>
      <c r="E70" s="413" t="str">
        <f t="shared" si="4"/>
        <v/>
      </c>
      <c r="F70" s="354" t="str">
        <f t="shared" si="14"/>
        <v/>
      </c>
      <c r="G70" s="339" t="str">
        <f t="shared" si="15"/>
        <v/>
      </c>
      <c r="H70" s="339" t="str">
        <f t="shared" si="16"/>
        <v/>
      </c>
      <c r="I70" s="352" t="str">
        <f t="shared" si="17"/>
        <v/>
      </c>
      <c r="J70" s="352" t="str">
        <f t="shared" si="18"/>
        <v/>
      </c>
      <c r="K70" s="352" t="str">
        <f t="shared" si="19"/>
        <v/>
      </c>
      <c r="L70" s="355" t="str">
        <f t="shared" si="20"/>
        <v/>
      </c>
      <c r="M70" s="356" t="s">
        <v>15</v>
      </c>
      <c r="N70" s="357" t="s">
        <v>15</v>
      </c>
      <c r="O70" s="357" t="s">
        <v>15</v>
      </c>
      <c r="P70" s="358"/>
      <c r="Q70" s="414"/>
      <c r="R70" s="376"/>
      <c r="S70" s="376"/>
      <c r="T70" s="376"/>
      <c r="U70" s="376"/>
      <c r="V70" s="376"/>
      <c r="W70" s="376"/>
      <c r="X70" s="375"/>
      <c r="Y70" s="377"/>
    </row>
    <row r="71">
      <c r="A71" s="351">
        <v>68.0</v>
      </c>
      <c r="B71" s="352" t="str">
        <f t="shared" si="12"/>
        <v/>
      </c>
      <c r="C71" s="337" t="str">
        <f t="shared" si="2"/>
        <v/>
      </c>
      <c r="D71" s="412" t="str">
        <f t="shared" si="13"/>
        <v/>
      </c>
      <c r="E71" s="413" t="str">
        <f t="shared" si="4"/>
        <v/>
      </c>
      <c r="F71" s="354" t="str">
        <f t="shared" si="14"/>
        <v/>
      </c>
      <c r="G71" s="339" t="str">
        <f t="shared" si="15"/>
        <v/>
      </c>
      <c r="H71" s="339" t="str">
        <f t="shared" si="16"/>
        <v/>
      </c>
      <c r="I71" s="352" t="str">
        <f t="shared" si="17"/>
        <v/>
      </c>
      <c r="J71" s="352" t="str">
        <f t="shared" si="18"/>
        <v/>
      </c>
      <c r="K71" s="352" t="str">
        <f t="shared" si="19"/>
        <v/>
      </c>
      <c r="L71" s="355" t="str">
        <f t="shared" si="20"/>
        <v/>
      </c>
      <c r="M71" s="356" t="s">
        <v>15</v>
      </c>
      <c r="N71" s="357" t="s">
        <v>15</v>
      </c>
      <c r="O71" s="357" t="s">
        <v>15</v>
      </c>
      <c r="P71" s="358"/>
      <c r="Q71" s="415"/>
      <c r="R71" s="369"/>
      <c r="S71" s="369"/>
      <c r="T71" s="369"/>
      <c r="U71" s="369"/>
      <c r="V71" s="369"/>
      <c r="W71" s="369"/>
      <c r="X71" s="368"/>
      <c r="Y71" s="371"/>
    </row>
    <row r="72">
      <c r="A72" s="351">
        <v>69.0</v>
      </c>
      <c r="B72" s="352" t="str">
        <f t="shared" si="12"/>
        <v/>
      </c>
      <c r="C72" s="337" t="str">
        <f t="shared" si="2"/>
        <v/>
      </c>
      <c r="D72" s="412" t="str">
        <f t="shared" si="13"/>
        <v/>
      </c>
      <c r="E72" s="413" t="str">
        <f t="shared" si="4"/>
        <v/>
      </c>
      <c r="F72" s="354" t="str">
        <f t="shared" si="14"/>
        <v/>
      </c>
      <c r="G72" s="339" t="str">
        <f t="shared" si="15"/>
        <v/>
      </c>
      <c r="H72" s="339" t="str">
        <f t="shared" si="16"/>
        <v/>
      </c>
      <c r="I72" s="352" t="str">
        <f t="shared" si="17"/>
        <v/>
      </c>
      <c r="J72" s="352" t="str">
        <f t="shared" si="18"/>
        <v/>
      </c>
      <c r="K72" s="352" t="str">
        <f t="shared" si="19"/>
        <v/>
      </c>
      <c r="L72" s="355" t="str">
        <f t="shared" si="20"/>
        <v/>
      </c>
      <c r="M72" s="356" t="s">
        <v>15</v>
      </c>
      <c r="N72" s="357" t="s">
        <v>15</v>
      </c>
      <c r="O72" s="357" t="s">
        <v>15</v>
      </c>
      <c r="P72" s="358"/>
      <c r="Q72" s="414"/>
      <c r="R72" s="376"/>
      <c r="S72" s="376"/>
      <c r="T72" s="375"/>
      <c r="U72" s="376"/>
      <c r="V72" s="376"/>
      <c r="W72" s="376"/>
      <c r="X72" s="375"/>
      <c r="Y72" s="377"/>
    </row>
    <row r="73">
      <c r="A73" s="351">
        <v>70.0</v>
      </c>
      <c r="B73" s="352" t="str">
        <f t="shared" si="12"/>
        <v/>
      </c>
      <c r="C73" s="337" t="str">
        <f t="shared" si="2"/>
        <v/>
      </c>
      <c r="D73" s="412" t="str">
        <f t="shared" si="13"/>
        <v/>
      </c>
      <c r="E73" s="413" t="str">
        <f t="shared" si="4"/>
        <v/>
      </c>
      <c r="F73" s="354" t="str">
        <f t="shared" si="14"/>
        <v/>
      </c>
      <c r="G73" s="339" t="str">
        <f t="shared" si="15"/>
        <v/>
      </c>
      <c r="H73" s="339" t="str">
        <f t="shared" si="16"/>
        <v/>
      </c>
      <c r="I73" s="352" t="str">
        <f t="shared" si="17"/>
        <v/>
      </c>
      <c r="J73" s="352" t="str">
        <f t="shared" si="18"/>
        <v/>
      </c>
      <c r="K73" s="352" t="str">
        <f t="shared" si="19"/>
        <v/>
      </c>
      <c r="L73" s="355" t="str">
        <f t="shared" si="20"/>
        <v/>
      </c>
      <c r="M73" s="356" t="s">
        <v>15</v>
      </c>
      <c r="N73" s="357" t="s">
        <v>15</v>
      </c>
      <c r="O73" s="357" t="s">
        <v>15</v>
      </c>
      <c r="P73" s="358"/>
      <c r="Q73" s="415"/>
      <c r="R73" s="369"/>
      <c r="S73" s="369"/>
      <c r="T73" s="369"/>
      <c r="U73" s="369"/>
      <c r="V73" s="369"/>
      <c r="W73" s="369"/>
      <c r="X73" s="368"/>
      <c r="Y73" s="371"/>
    </row>
    <row r="74">
      <c r="A74" s="351">
        <v>71.0</v>
      </c>
      <c r="B74" s="352" t="str">
        <f t="shared" si="12"/>
        <v/>
      </c>
      <c r="C74" s="337" t="str">
        <f t="shared" si="2"/>
        <v/>
      </c>
      <c r="D74" s="412" t="str">
        <f t="shared" si="13"/>
        <v/>
      </c>
      <c r="E74" s="413" t="str">
        <f t="shared" si="4"/>
        <v/>
      </c>
      <c r="F74" s="354" t="str">
        <f t="shared" si="14"/>
        <v/>
      </c>
      <c r="G74" s="339" t="str">
        <f t="shared" si="15"/>
        <v/>
      </c>
      <c r="H74" s="339" t="str">
        <f t="shared" si="16"/>
        <v/>
      </c>
      <c r="I74" s="352" t="str">
        <f t="shared" si="17"/>
        <v/>
      </c>
      <c r="J74" s="352" t="str">
        <f t="shared" si="18"/>
        <v/>
      </c>
      <c r="K74" s="352" t="str">
        <f t="shared" si="19"/>
        <v/>
      </c>
      <c r="L74" s="355" t="str">
        <f t="shared" si="20"/>
        <v/>
      </c>
      <c r="M74" s="356" t="s">
        <v>15</v>
      </c>
      <c r="N74" s="357" t="s">
        <v>15</v>
      </c>
      <c r="O74" s="357" t="s">
        <v>15</v>
      </c>
      <c r="P74" s="358"/>
      <c r="Q74" s="414"/>
      <c r="R74" s="376"/>
      <c r="S74" s="376"/>
      <c r="T74" s="376"/>
      <c r="U74" s="376"/>
      <c r="V74" s="376"/>
      <c r="W74" s="376"/>
      <c r="X74" s="375"/>
      <c r="Y74" s="377"/>
    </row>
    <row r="75">
      <c r="A75" s="351">
        <v>72.0</v>
      </c>
      <c r="B75" s="352" t="str">
        <f t="shared" si="12"/>
        <v/>
      </c>
      <c r="C75" s="337" t="str">
        <f t="shared" si="2"/>
        <v/>
      </c>
      <c r="D75" s="412" t="str">
        <f t="shared" si="13"/>
        <v/>
      </c>
      <c r="E75" s="413" t="str">
        <f t="shared" si="4"/>
        <v/>
      </c>
      <c r="F75" s="354" t="str">
        <f t="shared" si="14"/>
        <v/>
      </c>
      <c r="G75" s="339" t="str">
        <f t="shared" si="15"/>
        <v/>
      </c>
      <c r="H75" s="339" t="str">
        <f t="shared" si="16"/>
        <v/>
      </c>
      <c r="I75" s="352" t="str">
        <f t="shared" si="17"/>
        <v/>
      </c>
      <c r="J75" s="352" t="str">
        <f t="shared" si="18"/>
        <v/>
      </c>
      <c r="K75" s="352" t="str">
        <f t="shared" si="19"/>
        <v/>
      </c>
      <c r="L75" s="355" t="str">
        <f t="shared" si="20"/>
        <v/>
      </c>
      <c r="M75" s="356" t="s">
        <v>15</v>
      </c>
      <c r="N75" s="357" t="s">
        <v>15</v>
      </c>
      <c r="O75" s="357" t="s">
        <v>15</v>
      </c>
      <c r="P75" s="358"/>
      <c r="Q75" s="415"/>
      <c r="R75" s="369"/>
      <c r="S75" s="369"/>
      <c r="T75" s="369"/>
      <c r="U75" s="369"/>
      <c r="V75" s="369"/>
      <c r="W75" s="369"/>
      <c r="X75" s="368"/>
      <c r="Y75" s="371"/>
    </row>
    <row r="76">
      <c r="A76" s="351">
        <v>73.0</v>
      </c>
      <c r="B76" s="352" t="str">
        <f t="shared" si="12"/>
        <v/>
      </c>
      <c r="C76" s="337" t="str">
        <f t="shared" si="2"/>
        <v/>
      </c>
      <c r="D76" s="412" t="str">
        <f t="shared" si="13"/>
        <v/>
      </c>
      <c r="E76" s="413" t="str">
        <f t="shared" si="4"/>
        <v/>
      </c>
      <c r="F76" s="354" t="str">
        <f t="shared" si="14"/>
        <v/>
      </c>
      <c r="G76" s="339" t="str">
        <f t="shared" si="15"/>
        <v/>
      </c>
      <c r="H76" s="339" t="str">
        <f t="shared" si="16"/>
        <v/>
      </c>
      <c r="I76" s="352" t="str">
        <f t="shared" si="17"/>
        <v/>
      </c>
      <c r="J76" s="352" t="str">
        <f t="shared" si="18"/>
        <v/>
      </c>
      <c r="K76" s="352" t="str">
        <f t="shared" si="19"/>
        <v/>
      </c>
      <c r="L76" s="355" t="str">
        <f t="shared" si="20"/>
        <v/>
      </c>
      <c r="M76" s="356" t="s">
        <v>15</v>
      </c>
      <c r="N76" s="357" t="s">
        <v>15</v>
      </c>
      <c r="O76" s="357" t="s">
        <v>15</v>
      </c>
      <c r="P76" s="358"/>
      <c r="Q76" s="414"/>
      <c r="R76" s="376"/>
      <c r="S76" s="376"/>
      <c r="T76" s="376"/>
      <c r="U76" s="376"/>
      <c r="V76" s="376"/>
      <c r="W76" s="376"/>
      <c r="X76" s="375"/>
      <c r="Y76" s="377"/>
    </row>
    <row r="77">
      <c r="A77" s="351">
        <v>74.0</v>
      </c>
      <c r="B77" s="352" t="str">
        <f t="shared" si="12"/>
        <v/>
      </c>
      <c r="C77" s="337" t="str">
        <f t="shared" si="2"/>
        <v/>
      </c>
      <c r="D77" s="412" t="str">
        <f t="shared" si="13"/>
        <v/>
      </c>
      <c r="E77" s="413" t="str">
        <f t="shared" si="4"/>
        <v/>
      </c>
      <c r="F77" s="354" t="str">
        <f t="shared" si="14"/>
        <v/>
      </c>
      <c r="G77" s="339" t="str">
        <f t="shared" si="15"/>
        <v/>
      </c>
      <c r="H77" s="339" t="str">
        <f t="shared" si="16"/>
        <v/>
      </c>
      <c r="I77" s="352" t="str">
        <f t="shared" si="17"/>
        <v/>
      </c>
      <c r="J77" s="352" t="str">
        <f t="shared" si="18"/>
        <v/>
      </c>
      <c r="K77" s="352" t="str">
        <f t="shared" si="19"/>
        <v/>
      </c>
      <c r="L77" s="355" t="str">
        <f t="shared" si="20"/>
        <v/>
      </c>
      <c r="M77" s="356" t="s">
        <v>15</v>
      </c>
      <c r="N77" s="357" t="s">
        <v>15</v>
      </c>
      <c r="O77" s="357" t="s">
        <v>15</v>
      </c>
      <c r="P77" s="358"/>
      <c r="Q77" s="415"/>
      <c r="R77" s="369"/>
      <c r="S77" s="369"/>
      <c r="T77" s="369"/>
      <c r="U77" s="369"/>
      <c r="V77" s="369"/>
      <c r="W77" s="369"/>
      <c r="X77" s="368"/>
      <c r="Y77" s="371"/>
    </row>
    <row r="78">
      <c r="A78" s="351">
        <v>75.0</v>
      </c>
      <c r="B78" s="352" t="str">
        <f t="shared" si="12"/>
        <v/>
      </c>
      <c r="C78" s="337" t="str">
        <f t="shared" si="2"/>
        <v/>
      </c>
      <c r="D78" s="412" t="str">
        <f t="shared" si="13"/>
        <v/>
      </c>
      <c r="E78" s="413" t="str">
        <f t="shared" si="4"/>
        <v/>
      </c>
      <c r="F78" s="354" t="str">
        <f t="shared" si="14"/>
        <v/>
      </c>
      <c r="G78" s="339" t="str">
        <f t="shared" si="15"/>
        <v/>
      </c>
      <c r="H78" s="339" t="str">
        <f t="shared" si="16"/>
        <v/>
      </c>
      <c r="I78" s="352" t="str">
        <f t="shared" si="17"/>
        <v/>
      </c>
      <c r="J78" s="352" t="str">
        <f t="shared" si="18"/>
        <v/>
      </c>
      <c r="K78" s="352" t="str">
        <f t="shared" si="19"/>
        <v/>
      </c>
      <c r="L78" s="355" t="str">
        <f t="shared" si="20"/>
        <v/>
      </c>
      <c r="M78" s="356" t="s">
        <v>15</v>
      </c>
      <c r="N78" s="357" t="s">
        <v>15</v>
      </c>
      <c r="O78" s="357" t="s">
        <v>15</v>
      </c>
      <c r="P78" s="358"/>
      <c r="Q78" s="414"/>
      <c r="R78" s="376"/>
      <c r="S78" s="376"/>
      <c r="T78" s="376"/>
      <c r="U78" s="376"/>
      <c r="V78" s="376"/>
      <c r="W78" s="376"/>
      <c r="X78" s="375"/>
      <c r="Y78" s="377"/>
    </row>
    <row r="79">
      <c r="A79" s="351">
        <v>76.0</v>
      </c>
      <c r="B79" s="352" t="str">
        <f t="shared" si="12"/>
        <v/>
      </c>
      <c r="C79" s="337" t="str">
        <f t="shared" si="2"/>
        <v/>
      </c>
      <c r="D79" s="412" t="str">
        <f t="shared" si="13"/>
        <v/>
      </c>
      <c r="E79" s="413" t="str">
        <f t="shared" si="4"/>
        <v/>
      </c>
      <c r="F79" s="354" t="str">
        <f t="shared" si="14"/>
        <v/>
      </c>
      <c r="G79" s="339" t="str">
        <f t="shared" si="15"/>
        <v/>
      </c>
      <c r="H79" s="339" t="str">
        <f t="shared" si="16"/>
        <v/>
      </c>
      <c r="I79" s="352" t="str">
        <f t="shared" si="17"/>
        <v/>
      </c>
      <c r="J79" s="352" t="str">
        <f t="shared" si="18"/>
        <v/>
      </c>
      <c r="K79" s="352" t="str">
        <f t="shared" si="19"/>
        <v/>
      </c>
      <c r="L79" s="355" t="str">
        <f t="shared" si="20"/>
        <v/>
      </c>
      <c r="M79" s="356" t="s">
        <v>15</v>
      </c>
      <c r="N79" s="357" t="s">
        <v>15</v>
      </c>
      <c r="O79" s="357" t="s">
        <v>15</v>
      </c>
      <c r="P79" s="358"/>
      <c r="Q79" s="415"/>
      <c r="R79" s="369"/>
      <c r="S79" s="369"/>
      <c r="T79" s="369"/>
      <c r="U79" s="369"/>
      <c r="V79" s="369"/>
      <c r="W79" s="369"/>
      <c r="X79" s="368"/>
      <c r="Y79" s="371"/>
    </row>
    <row r="80">
      <c r="A80" s="351">
        <v>77.0</v>
      </c>
      <c r="B80" s="352" t="str">
        <f t="shared" si="12"/>
        <v/>
      </c>
      <c r="C80" s="337" t="str">
        <f t="shared" si="2"/>
        <v/>
      </c>
      <c r="D80" s="412" t="str">
        <f t="shared" si="13"/>
        <v/>
      </c>
      <c r="E80" s="413" t="str">
        <f t="shared" si="4"/>
        <v/>
      </c>
      <c r="F80" s="354" t="str">
        <f t="shared" si="14"/>
        <v/>
      </c>
      <c r="G80" s="339" t="str">
        <f t="shared" si="15"/>
        <v/>
      </c>
      <c r="H80" s="339" t="str">
        <f t="shared" si="16"/>
        <v/>
      </c>
      <c r="I80" s="352" t="str">
        <f t="shared" si="17"/>
        <v/>
      </c>
      <c r="J80" s="352" t="str">
        <f t="shared" si="18"/>
        <v/>
      </c>
      <c r="K80" s="352" t="str">
        <f t="shared" si="19"/>
        <v/>
      </c>
      <c r="L80" s="355" t="str">
        <f t="shared" si="20"/>
        <v/>
      </c>
      <c r="M80" s="356" t="s">
        <v>15</v>
      </c>
      <c r="N80" s="357" t="s">
        <v>15</v>
      </c>
      <c r="O80" s="357" t="s">
        <v>15</v>
      </c>
      <c r="P80" s="358"/>
      <c r="Q80" s="414"/>
      <c r="R80" s="376"/>
      <c r="S80" s="376"/>
      <c r="T80" s="376"/>
      <c r="U80" s="376"/>
      <c r="V80" s="376"/>
      <c r="W80" s="376"/>
      <c r="X80" s="375"/>
      <c r="Y80" s="377"/>
    </row>
    <row r="81">
      <c r="A81" s="351">
        <v>78.0</v>
      </c>
      <c r="B81" s="352" t="str">
        <f t="shared" si="12"/>
        <v/>
      </c>
      <c r="C81" s="337" t="str">
        <f t="shared" si="2"/>
        <v/>
      </c>
      <c r="D81" s="412" t="str">
        <f t="shared" si="13"/>
        <v/>
      </c>
      <c r="E81" s="413" t="str">
        <f t="shared" si="4"/>
        <v/>
      </c>
      <c r="F81" s="354" t="str">
        <f t="shared" si="14"/>
        <v/>
      </c>
      <c r="G81" s="339" t="str">
        <f t="shared" si="15"/>
        <v/>
      </c>
      <c r="H81" s="339" t="str">
        <f t="shared" si="16"/>
        <v/>
      </c>
      <c r="I81" s="352" t="str">
        <f t="shared" si="17"/>
        <v/>
      </c>
      <c r="J81" s="352" t="str">
        <f t="shared" si="18"/>
        <v/>
      </c>
      <c r="K81" s="352" t="str">
        <f t="shared" si="19"/>
        <v/>
      </c>
      <c r="L81" s="355" t="str">
        <f t="shared" si="20"/>
        <v/>
      </c>
      <c r="M81" s="356" t="s">
        <v>15</v>
      </c>
      <c r="N81" s="357" t="s">
        <v>15</v>
      </c>
      <c r="O81" s="357" t="s">
        <v>15</v>
      </c>
      <c r="P81" s="358"/>
      <c r="Q81" s="415"/>
      <c r="R81" s="369"/>
      <c r="S81" s="369"/>
      <c r="T81" s="369"/>
      <c r="U81" s="369"/>
      <c r="V81" s="369"/>
      <c r="W81" s="369"/>
      <c r="X81" s="368"/>
      <c r="Y81" s="371"/>
    </row>
    <row r="82">
      <c r="A82" s="351">
        <v>79.0</v>
      </c>
      <c r="B82" s="352" t="str">
        <f t="shared" si="12"/>
        <v/>
      </c>
      <c r="C82" s="337" t="str">
        <f t="shared" si="2"/>
        <v/>
      </c>
      <c r="D82" s="412" t="str">
        <f t="shared" si="13"/>
        <v/>
      </c>
      <c r="E82" s="413" t="str">
        <f t="shared" si="4"/>
        <v/>
      </c>
      <c r="F82" s="354" t="str">
        <f t="shared" si="14"/>
        <v/>
      </c>
      <c r="G82" s="339" t="str">
        <f t="shared" si="15"/>
        <v/>
      </c>
      <c r="H82" s="339" t="str">
        <f t="shared" si="16"/>
        <v/>
      </c>
      <c r="I82" s="352" t="str">
        <f t="shared" si="17"/>
        <v/>
      </c>
      <c r="J82" s="352" t="str">
        <f t="shared" si="18"/>
        <v/>
      </c>
      <c r="K82" s="352" t="str">
        <f t="shared" si="19"/>
        <v/>
      </c>
      <c r="L82" s="355" t="str">
        <f t="shared" si="20"/>
        <v/>
      </c>
      <c r="M82" s="356" t="s">
        <v>15</v>
      </c>
      <c r="N82" s="357" t="s">
        <v>15</v>
      </c>
      <c r="O82" s="357" t="s">
        <v>15</v>
      </c>
      <c r="P82" s="358"/>
      <c r="Q82" s="414"/>
      <c r="R82" s="376"/>
      <c r="S82" s="376"/>
      <c r="T82" s="376"/>
      <c r="U82" s="376"/>
      <c r="V82" s="376"/>
      <c r="W82" s="376"/>
      <c r="X82" s="375"/>
      <c r="Y82" s="377"/>
    </row>
    <row r="83">
      <c r="A83" s="351">
        <v>80.0</v>
      </c>
      <c r="B83" s="352" t="str">
        <f t="shared" si="12"/>
        <v/>
      </c>
      <c r="C83" s="337" t="str">
        <f t="shared" si="2"/>
        <v/>
      </c>
      <c r="D83" s="412" t="str">
        <f t="shared" si="13"/>
        <v/>
      </c>
      <c r="E83" s="413" t="str">
        <f t="shared" si="4"/>
        <v/>
      </c>
      <c r="F83" s="354" t="str">
        <f t="shared" si="14"/>
        <v/>
      </c>
      <c r="G83" s="339" t="str">
        <f t="shared" si="15"/>
        <v/>
      </c>
      <c r="H83" s="339" t="str">
        <f t="shared" si="16"/>
        <v/>
      </c>
      <c r="I83" s="352" t="str">
        <f t="shared" si="17"/>
        <v/>
      </c>
      <c r="J83" s="352" t="str">
        <f t="shared" si="18"/>
        <v/>
      </c>
      <c r="K83" s="352" t="str">
        <f t="shared" si="19"/>
        <v/>
      </c>
      <c r="L83" s="355" t="str">
        <f t="shared" si="20"/>
        <v/>
      </c>
      <c r="M83" s="356" t="s">
        <v>15</v>
      </c>
      <c r="N83" s="357" t="s">
        <v>15</v>
      </c>
      <c r="O83" s="357" t="s">
        <v>15</v>
      </c>
      <c r="P83" s="358"/>
      <c r="Q83" s="415"/>
      <c r="R83" s="369"/>
      <c r="S83" s="369"/>
      <c r="T83" s="369"/>
      <c r="U83" s="369"/>
      <c r="V83" s="369"/>
      <c r="W83" s="369"/>
      <c r="X83" s="368"/>
      <c r="Y83" s="371"/>
    </row>
    <row r="84">
      <c r="A84" s="351">
        <v>81.0</v>
      </c>
      <c r="B84" s="352" t="str">
        <f t="shared" si="12"/>
        <v/>
      </c>
      <c r="C84" s="337" t="str">
        <f t="shared" si="2"/>
        <v/>
      </c>
      <c r="D84" s="412" t="str">
        <f t="shared" si="13"/>
        <v/>
      </c>
      <c r="E84" s="413" t="str">
        <f t="shared" si="4"/>
        <v/>
      </c>
      <c r="F84" s="354" t="str">
        <f t="shared" si="14"/>
        <v/>
      </c>
      <c r="G84" s="339" t="str">
        <f t="shared" si="15"/>
        <v/>
      </c>
      <c r="H84" s="339" t="str">
        <f t="shared" si="16"/>
        <v/>
      </c>
      <c r="I84" s="352" t="str">
        <f t="shared" si="17"/>
        <v/>
      </c>
      <c r="J84" s="352" t="str">
        <f t="shared" si="18"/>
        <v/>
      </c>
      <c r="K84" s="352" t="str">
        <f t="shared" si="19"/>
        <v/>
      </c>
      <c r="L84" s="355" t="str">
        <f t="shared" si="20"/>
        <v/>
      </c>
      <c r="M84" s="356" t="s">
        <v>15</v>
      </c>
      <c r="N84" s="357" t="s">
        <v>15</v>
      </c>
      <c r="O84" s="357" t="s">
        <v>15</v>
      </c>
      <c r="P84" s="358"/>
      <c r="Q84" s="414"/>
      <c r="R84" s="376"/>
      <c r="S84" s="376"/>
      <c r="T84" s="376"/>
      <c r="U84" s="376"/>
      <c r="V84" s="376"/>
      <c r="W84" s="376"/>
      <c r="X84" s="375"/>
      <c r="Y84" s="377"/>
    </row>
    <row r="85">
      <c r="A85" s="351">
        <v>82.0</v>
      </c>
      <c r="B85" s="352" t="str">
        <f t="shared" si="12"/>
        <v/>
      </c>
      <c r="C85" s="337" t="str">
        <f t="shared" si="2"/>
        <v/>
      </c>
      <c r="D85" s="412" t="str">
        <f t="shared" si="13"/>
        <v/>
      </c>
      <c r="E85" s="413" t="str">
        <f t="shared" si="4"/>
        <v/>
      </c>
      <c r="F85" s="354" t="str">
        <f t="shared" si="14"/>
        <v/>
      </c>
      <c r="G85" s="339" t="str">
        <f t="shared" si="15"/>
        <v/>
      </c>
      <c r="H85" s="339" t="str">
        <f t="shared" si="16"/>
        <v/>
      </c>
      <c r="I85" s="352" t="str">
        <f t="shared" si="17"/>
        <v/>
      </c>
      <c r="J85" s="352" t="str">
        <f t="shared" si="18"/>
        <v/>
      </c>
      <c r="K85" s="352" t="str">
        <f t="shared" si="19"/>
        <v/>
      </c>
      <c r="L85" s="355" t="str">
        <f t="shared" si="20"/>
        <v/>
      </c>
      <c r="M85" s="356" t="s">
        <v>15</v>
      </c>
      <c r="N85" s="357" t="s">
        <v>15</v>
      </c>
      <c r="O85" s="357" t="s">
        <v>15</v>
      </c>
      <c r="P85" s="358"/>
      <c r="Q85" s="415"/>
      <c r="R85" s="369"/>
      <c r="S85" s="369"/>
      <c r="T85" s="369"/>
      <c r="U85" s="369"/>
      <c r="V85" s="369"/>
      <c r="W85" s="369"/>
      <c r="X85" s="368"/>
      <c r="Y85" s="371"/>
    </row>
    <row r="86">
      <c r="A86" s="351">
        <v>83.0</v>
      </c>
      <c r="B86" s="352" t="str">
        <f t="shared" si="12"/>
        <v/>
      </c>
      <c r="C86" s="337" t="str">
        <f t="shared" si="2"/>
        <v/>
      </c>
      <c r="D86" s="412" t="str">
        <f t="shared" si="13"/>
        <v/>
      </c>
      <c r="E86" s="413" t="str">
        <f t="shared" si="4"/>
        <v/>
      </c>
      <c r="F86" s="354" t="str">
        <f t="shared" si="14"/>
        <v/>
      </c>
      <c r="G86" s="339" t="str">
        <f t="shared" si="15"/>
        <v/>
      </c>
      <c r="H86" s="339" t="str">
        <f t="shared" si="16"/>
        <v/>
      </c>
      <c r="I86" s="352" t="str">
        <f t="shared" si="17"/>
        <v/>
      </c>
      <c r="J86" s="352" t="str">
        <f t="shared" si="18"/>
        <v/>
      </c>
      <c r="K86" s="352" t="str">
        <f t="shared" si="19"/>
        <v/>
      </c>
      <c r="L86" s="355" t="str">
        <f t="shared" si="20"/>
        <v/>
      </c>
      <c r="M86" s="356" t="s">
        <v>15</v>
      </c>
      <c r="N86" s="357" t="s">
        <v>15</v>
      </c>
      <c r="O86" s="357" t="s">
        <v>15</v>
      </c>
      <c r="P86" s="358"/>
      <c r="Q86" s="414"/>
      <c r="R86" s="376"/>
      <c r="S86" s="376"/>
      <c r="T86" s="376"/>
      <c r="U86" s="376"/>
      <c r="V86" s="376"/>
      <c r="W86" s="376"/>
      <c r="X86" s="375"/>
      <c r="Y86" s="377"/>
    </row>
    <row r="87">
      <c r="A87" s="351">
        <v>84.0</v>
      </c>
      <c r="B87" s="352" t="str">
        <f t="shared" si="12"/>
        <v/>
      </c>
      <c r="C87" s="337" t="str">
        <f t="shared" si="2"/>
        <v/>
      </c>
      <c r="D87" s="412" t="str">
        <f t="shared" si="13"/>
        <v/>
      </c>
      <c r="E87" s="413" t="str">
        <f t="shared" si="4"/>
        <v/>
      </c>
      <c r="F87" s="354" t="str">
        <f t="shared" si="14"/>
        <v/>
      </c>
      <c r="G87" s="339" t="str">
        <f t="shared" si="15"/>
        <v/>
      </c>
      <c r="H87" s="339" t="str">
        <f t="shared" si="16"/>
        <v/>
      </c>
      <c r="I87" s="352" t="str">
        <f t="shared" si="17"/>
        <v/>
      </c>
      <c r="J87" s="352" t="str">
        <f t="shared" si="18"/>
        <v/>
      </c>
      <c r="K87" s="352" t="str">
        <f t="shared" si="19"/>
        <v/>
      </c>
      <c r="L87" s="355" t="str">
        <f t="shared" si="20"/>
        <v/>
      </c>
      <c r="M87" s="356" t="s">
        <v>15</v>
      </c>
      <c r="N87" s="357" t="s">
        <v>15</v>
      </c>
      <c r="O87" s="357" t="s">
        <v>15</v>
      </c>
      <c r="P87" s="358"/>
      <c r="Q87" s="415"/>
      <c r="R87" s="369"/>
      <c r="S87" s="369"/>
      <c r="T87" s="369"/>
      <c r="U87" s="369"/>
      <c r="V87" s="369"/>
      <c r="W87" s="369"/>
      <c r="X87" s="368"/>
      <c r="Y87" s="371"/>
    </row>
    <row r="88">
      <c r="A88" s="351">
        <v>85.0</v>
      </c>
      <c r="B88" s="352" t="str">
        <f t="shared" si="12"/>
        <v/>
      </c>
      <c r="C88" s="337" t="str">
        <f t="shared" si="2"/>
        <v/>
      </c>
      <c r="D88" s="412" t="str">
        <f t="shared" si="13"/>
        <v/>
      </c>
      <c r="E88" s="413" t="str">
        <f t="shared" si="4"/>
        <v/>
      </c>
      <c r="F88" s="354" t="str">
        <f t="shared" si="14"/>
        <v/>
      </c>
      <c r="G88" s="339" t="str">
        <f t="shared" si="15"/>
        <v/>
      </c>
      <c r="H88" s="339" t="str">
        <f t="shared" si="16"/>
        <v/>
      </c>
      <c r="I88" s="352" t="str">
        <f t="shared" si="17"/>
        <v/>
      </c>
      <c r="J88" s="352" t="str">
        <f t="shared" si="18"/>
        <v/>
      </c>
      <c r="K88" s="352" t="str">
        <f t="shared" si="19"/>
        <v/>
      </c>
      <c r="L88" s="355" t="str">
        <f t="shared" si="20"/>
        <v/>
      </c>
      <c r="M88" s="356" t="s">
        <v>15</v>
      </c>
      <c r="N88" s="357" t="s">
        <v>15</v>
      </c>
      <c r="O88" s="357" t="s">
        <v>15</v>
      </c>
      <c r="P88" s="358"/>
      <c r="Q88" s="414"/>
      <c r="R88" s="376"/>
      <c r="S88" s="376"/>
      <c r="T88" s="376"/>
      <c r="U88" s="376"/>
      <c r="V88" s="376"/>
      <c r="W88" s="376"/>
      <c r="X88" s="375"/>
      <c r="Y88" s="377"/>
    </row>
    <row r="89">
      <c r="A89" s="351">
        <v>86.0</v>
      </c>
      <c r="B89" s="352" t="str">
        <f t="shared" si="12"/>
        <v/>
      </c>
      <c r="C89" s="337" t="str">
        <f t="shared" si="2"/>
        <v/>
      </c>
      <c r="D89" s="412" t="str">
        <f t="shared" si="13"/>
        <v/>
      </c>
      <c r="E89" s="413" t="str">
        <f t="shared" si="4"/>
        <v/>
      </c>
      <c r="F89" s="354" t="str">
        <f t="shared" si="14"/>
        <v/>
      </c>
      <c r="G89" s="339" t="str">
        <f t="shared" si="15"/>
        <v/>
      </c>
      <c r="H89" s="339" t="str">
        <f t="shared" si="16"/>
        <v/>
      </c>
      <c r="I89" s="352" t="str">
        <f t="shared" si="17"/>
        <v/>
      </c>
      <c r="J89" s="352" t="str">
        <f t="shared" si="18"/>
        <v/>
      </c>
      <c r="K89" s="352" t="str">
        <f t="shared" si="19"/>
        <v/>
      </c>
      <c r="L89" s="355" t="str">
        <f t="shared" si="20"/>
        <v/>
      </c>
      <c r="M89" s="356" t="s">
        <v>15</v>
      </c>
      <c r="N89" s="357" t="s">
        <v>15</v>
      </c>
      <c r="O89" s="357" t="s">
        <v>15</v>
      </c>
      <c r="P89" s="358"/>
      <c r="Q89" s="415"/>
      <c r="R89" s="369"/>
      <c r="S89" s="369"/>
      <c r="T89" s="369"/>
      <c r="U89" s="369"/>
      <c r="V89" s="369"/>
      <c r="W89" s="369"/>
      <c r="X89" s="368"/>
      <c r="Y89" s="371"/>
    </row>
    <row r="90">
      <c r="A90" s="351">
        <v>87.0</v>
      </c>
      <c r="B90" s="352" t="str">
        <f t="shared" si="12"/>
        <v/>
      </c>
      <c r="C90" s="337" t="str">
        <f t="shared" si="2"/>
        <v/>
      </c>
      <c r="D90" s="412" t="str">
        <f t="shared" si="13"/>
        <v/>
      </c>
      <c r="E90" s="413" t="str">
        <f t="shared" si="4"/>
        <v/>
      </c>
      <c r="F90" s="354" t="str">
        <f t="shared" si="14"/>
        <v/>
      </c>
      <c r="G90" s="339" t="str">
        <f t="shared" si="15"/>
        <v/>
      </c>
      <c r="H90" s="339" t="str">
        <f t="shared" si="16"/>
        <v/>
      </c>
      <c r="I90" s="352" t="str">
        <f t="shared" si="17"/>
        <v/>
      </c>
      <c r="J90" s="352" t="str">
        <f t="shared" si="18"/>
        <v/>
      </c>
      <c r="K90" s="352" t="str">
        <f t="shared" si="19"/>
        <v/>
      </c>
      <c r="L90" s="355" t="str">
        <f t="shared" si="20"/>
        <v/>
      </c>
      <c r="M90" s="356" t="s">
        <v>15</v>
      </c>
      <c r="N90" s="357" t="s">
        <v>15</v>
      </c>
      <c r="O90" s="357" t="s">
        <v>15</v>
      </c>
      <c r="P90" s="358"/>
      <c r="Q90" s="414"/>
      <c r="R90" s="376"/>
      <c r="S90" s="376"/>
      <c r="T90" s="376"/>
      <c r="U90" s="376"/>
      <c r="V90" s="376"/>
      <c r="W90" s="376"/>
      <c r="X90" s="375"/>
      <c r="Y90" s="377"/>
    </row>
    <row r="91">
      <c r="A91" s="351">
        <v>88.0</v>
      </c>
      <c r="B91" s="352" t="str">
        <f t="shared" si="12"/>
        <v/>
      </c>
      <c r="C91" s="337" t="str">
        <f t="shared" si="2"/>
        <v/>
      </c>
      <c r="D91" s="412" t="str">
        <f t="shared" si="13"/>
        <v/>
      </c>
      <c r="E91" s="413" t="str">
        <f t="shared" si="4"/>
        <v/>
      </c>
      <c r="F91" s="354" t="str">
        <f t="shared" si="14"/>
        <v/>
      </c>
      <c r="G91" s="339" t="str">
        <f t="shared" si="15"/>
        <v/>
      </c>
      <c r="H91" s="339" t="str">
        <f t="shared" si="16"/>
        <v/>
      </c>
      <c r="I91" s="352" t="str">
        <f t="shared" si="17"/>
        <v/>
      </c>
      <c r="J91" s="352" t="str">
        <f t="shared" si="18"/>
        <v/>
      </c>
      <c r="K91" s="352" t="str">
        <f t="shared" si="19"/>
        <v/>
      </c>
      <c r="L91" s="355" t="str">
        <f t="shared" si="20"/>
        <v/>
      </c>
      <c r="M91" s="356" t="s">
        <v>15</v>
      </c>
      <c r="N91" s="357" t="s">
        <v>15</v>
      </c>
      <c r="O91" s="357" t="s">
        <v>15</v>
      </c>
      <c r="P91" s="358"/>
      <c r="Q91" s="415"/>
      <c r="R91" s="369"/>
      <c r="S91" s="369"/>
      <c r="T91" s="369"/>
      <c r="U91" s="369"/>
      <c r="V91" s="369"/>
      <c r="W91" s="369"/>
      <c r="X91" s="368"/>
      <c r="Y91" s="371"/>
    </row>
    <row r="92">
      <c r="A92" s="351">
        <v>89.0</v>
      </c>
      <c r="B92" s="352" t="str">
        <f t="shared" si="12"/>
        <v/>
      </c>
      <c r="C92" s="337" t="str">
        <f t="shared" si="2"/>
        <v/>
      </c>
      <c r="D92" s="412" t="str">
        <f t="shared" si="13"/>
        <v/>
      </c>
      <c r="E92" s="413" t="str">
        <f t="shared" si="4"/>
        <v/>
      </c>
      <c r="F92" s="354" t="str">
        <f t="shared" si="14"/>
        <v/>
      </c>
      <c r="G92" s="339" t="str">
        <f t="shared" si="15"/>
        <v/>
      </c>
      <c r="H92" s="339" t="str">
        <f t="shared" si="16"/>
        <v/>
      </c>
      <c r="I92" s="352" t="str">
        <f t="shared" si="17"/>
        <v/>
      </c>
      <c r="J92" s="352" t="str">
        <f t="shared" si="18"/>
        <v/>
      </c>
      <c r="K92" s="352" t="str">
        <f t="shared" si="19"/>
        <v/>
      </c>
      <c r="L92" s="355" t="str">
        <f t="shared" si="20"/>
        <v/>
      </c>
      <c r="M92" s="356" t="s">
        <v>15</v>
      </c>
      <c r="N92" s="357" t="s">
        <v>15</v>
      </c>
      <c r="O92" s="357" t="s">
        <v>15</v>
      </c>
      <c r="P92" s="358"/>
      <c r="Q92" s="414"/>
      <c r="R92" s="376"/>
      <c r="S92" s="376"/>
      <c r="T92" s="376"/>
      <c r="U92" s="376"/>
      <c r="V92" s="376"/>
      <c r="W92" s="376"/>
      <c r="X92" s="375"/>
      <c r="Y92" s="377"/>
    </row>
    <row r="93">
      <c r="A93" s="351">
        <v>90.0</v>
      </c>
      <c r="B93" s="352" t="str">
        <f t="shared" si="12"/>
        <v/>
      </c>
      <c r="C93" s="337" t="str">
        <f t="shared" si="2"/>
        <v/>
      </c>
      <c r="D93" s="412" t="str">
        <f t="shared" si="13"/>
        <v/>
      </c>
      <c r="E93" s="413" t="str">
        <f t="shared" si="4"/>
        <v/>
      </c>
      <c r="F93" s="354" t="str">
        <f t="shared" si="14"/>
        <v/>
      </c>
      <c r="G93" s="339" t="str">
        <f t="shared" si="15"/>
        <v/>
      </c>
      <c r="H93" s="339" t="str">
        <f t="shared" si="16"/>
        <v/>
      </c>
      <c r="I93" s="352" t="str">
        <f t="shared" si="17"/>
        <v/>
      </c>
      <c r="J93" s="352" t="str">
        <f t="shared" si="18"/>
        <v/>
      </c>
      <c r="K93" s="352" t="str">
        <f t="shared" si="19"/>
        <v/>
      </c>
      <c r="L93" s="355" t="str">
        <f t="shared" si="20"/>
        <v/>
      </c>
      <c r="M93" s="356" t="s">
        <v>15</v>
      </c>
      <c r="N93" s="357" t="s">
        <v>15</v>
      </c>
      <c r="O93" s="357" t="s">
        <v>15</v>
      </c>
      <c r="P93" s="358"/>
      <c r="Q93" s="415"/>
      <c r="R93" s="369"/>
      <c r="S93" s="369"/>
      <c r="T93" s="369"/>
      <c r="U93" s="369"/>
      <c r="V93" s="369"/>
      <c r="W93" s="369"/>
      <c r="X93" s="368"/>
      <c r="Y93" s="371"/>
    </row>
    <row r="94">
      <c r="A94" s="351">
        <v>91.0</v>
      </c>
      <c r="B94" s="352" t="str">
        <f t="shared" si="12"/>
        <v/>
      </c>
      <c r="C94" s="337" t="str">
        <f t="shared" si="2"/>
        <v/>
      </c>
      <c r="D94" s="412" t="str">
        <f t="shared" si="13"/>
        <v/>
      </c>
      <c r="E94" s="413" t="str">
        <f t="shared" si="4"/>
        <v/>
      </c>
      <c r="F94" s="354" t="str">
        <f t="shared" si="14"/>
        <v/>
      </c>
      <c r="G94" s="339" t="str">
        <f t="shared" si="15"/>
        <v/>
      </c>
      <c r="H94" s="339" t="str">
        <f t="shared" si="16"/>
        <v/>
      </c>
      <c r="I94" s="352" t="str">
        <f t="shared" si="17"/>
        <v/>
      </c>
      <c r="J94" s="352" t="str">
        <f t="shared" si="18"/>
        <v/>
      </c>
      <c r="K94" s="352" t="str">
        <f t="shared" si="19"/>
        <v/>
      </c>
      <c r="L94" s="355" t="str">
        <f t="shared" si="20"/>
        <v/>
      </c>
      <c r="M94" s="356" t="s">
        <v>15</v>
      </c>
      <c r="N94" s="357" t="s">
        <v>15</v>
      </c>
      <c r="O94" s="357" t="s">
        <v>15</v>
      </c>
      <c r="P94" s="358"/>
      <c r="Q94" s="414"/>
      <c r="R94" s="376"/>
      <c r="S94" s="376"/>
      <c r="T94" s="376"/>
      <c r="U94" s="376"/>
      <c r="V94" s="376"/>
      <c r="W94" s="376"/>
      <c r="X94" s="375"/>
      <c r="Y94" s="377"/>
    </row>
    <row r="95">
      <c r="A95" s="351">
        <v>92.0</v>
      </c>
      <c r="B95" s="352" t="str">
        <f t="shared" si="12"/>
        <v/>
      </c>
      <c r="C95" s="337" t="str">
        <f t="shared" si="2"/>
        <v/>
      </c>
      <c r="D95" s="412" t="str">
        <f t="shared" si="13"/>
        <v/>
      </c>
      <c r="E95" s="413" t="str">
        <f t="shared" si="4"/>
        <v/>
      </c>
      <c r="F95" s="354" t="str">
        <f t="shared" si="14"/>
        <v/>
      </c>
      <c r="G95" s="339" t="str">
        <f t="shared" si="15"/>
        <v/>
      </c>
      <c r="H95" s="339" t="str">
        <f t="shared" si="16"/>
        <v/>
      </c>
      <c r="I95" s="352" t="str">
        <f t="shared" si="17"/>
        <v/>
      </c>
      <c r="J95" s="352" t="str">
        <f t="shared" si="18"/>
        <v/>
      </c>
      <c r="K95" s="352" t="str">
        <f t="shared" si="19"/>
        <v/>
      </c>
      <c r="L95" s="355" t="str">
        <f t="shared" si="20"/>
        <v/>
      </c>
      <c r="M95" s="356" t="s">
        <v>15</v>
      </c>
      <c r="N95" s="357" t="s">
        <v>15</v>
      </c>
      <c r="O95" s="357" t="s">
        <v>15</v>
      </c>
      <c r="P95" s="358"/>
      <c r="Q95" s="415"/>
      <c r="R95" s="369"/>
      <c r="S95" s="369"/>
      <c r="T95" s="369"/>
      <c r="U95" s="369"/>
      <c r="V95" s="369"/>
      <c r="W95" s="369"/>
      <c r="X95" s="368"/>
      <c r="Y95" s="371"/>
    </row>
    <row r="96">
      <c r="A96" s="351">
        <v>93.0</v>
      </c>
      <c r="B96" s="352" t="str">
        <f t="shared" si="12"/>
        <v/>
      </c>
      <c r="C96" s="337" t="str">
        <f t="shared" si="2"/>
        <v/>
      </c>
      <c r="D96" s="412" t="str">
        <f t="shared" si="13"/>
        <v/>
      </c>
      <c r="E96" s="413" t="str">
        <f t="shared" si="4"/>
        <v/>
      </c>
      <c r="F96" s="354" t="str">
        <f t="shared" si="14"/>
        <v/>
      </c>
      <c r="G96" s="339" t="str">
        <f t="shared" si="15"/>
        <v/>
      </c>
      <c r="H96" s="339" t="str">
        <f t="shared" si="16"/>
        <v/>
      </c>
      <c r="I96" s="352" t="str">
        <f t="shared" si="17"/>
        <v/>
      </c>
      <c r="J96" s="352" t="str">
        <f t="shared" si="18"/>
        <v/>
      </c>
      <c r="K96" s="352" t="str">
        <f t="shared" si="19"/>
        <v/>
      </c>
      <c r="L96" s="355" t="str">
        <f t="shared" si="20"/>
        <v/>
      </c>
      <c r="M96" s="356" t="s">
        <v>15</v>
      </c>
      <c r="N96" s="357" t="s">
        <v>15</v>
      </c>
      <c r="O96" s="357" t="s">
        <v>15</v>
      </c>
      <c r="P96" s="358"/>
      <c r="Q96" s="414"/>
      <c r="R96" s="376"/>
      <c r="S96" s="376"/>
      <c r="T96" s="376"/>
      <c r="U96" s="376"/>
      <c r="V96" s="376"/>
      <c r="W96" s="376"/>
      <c r="X96" s="375"/>
      <c r="Y96" s="377"/>
    </row>
    <row r="97">
      <c r="A97" s="351">
        <v>94.0</v>
      </c>
      <c r="B97" s="352" t="str">
        <f t="shared" si="12"/>
        <v/>
      </c>
      <c r="C97" s="337" t="str">
        <f t="shared" si="2"/>
        <v/>
      </c>
      <c r="D97" s="412" t="str">
        <f t="shared" si="13"/>
        <v/>
      </c>
      <c r="E97" s="413" t="str">
        <f t="shared" si="4"/>
        <v/>
      </c>
      <c r="F97" s="354" t="str">
        <f t="shared" si="14"/>
        <v/>
      </c>
      <c r="G97" s="339" t="str">
        <f t="shared" si="15"/>
        <v/>
      </c>
      <c r="H97" s="339" t="str">
        <f t="shared" si="16"/>
        <v/>
      </c>
      <c r="I97" s="352" t="str">
        <f t="shared" si="17"/>
        <v/>
      </c>
      <c r="J97" s="352" t="str">
        <f t="shared" si="18"/>
        <v/>
      </c>
      <c r="K97" s="352" t="str">
        <f t="shared" si="19"/>
        <v/>
      </c>
      <c r="L97" s="355" t="str">
        <f t="shared" si="20"/>
        <v/>
      </c>
      <c r="M97" s="356" t="s">
        <v>15</v>
      </c>
      <c r="N97" s="357" t="s">
        <v>15</v>
      </c>
      <c r="O97" s="357" t="s">
        <v>15</v>
      </c>
      <c r="P97" s="358"/>
      <c r="Q97" s="415"/>
      <c r="R97" s="369"/>
      <c r="S97" s="369"/>
      <c r="T97" s="369"/>
      <c r="U97" s="369"/>
      <c r="V97" s="369"/>
      <c r="W97" s="369"/>
      <c r="X97" s="368"/>
      <c r="Y97" s="371"/>
    </row>
    <row r="98">
      <c r="A98" s="351">
        <v>95.0</v>
      </c>
      <c r="B98" s="352" t="str">
        <f t="shared" si="12"/>
        <v/>
      </c>
      <c r="C98" s="337" t="str">
        <f t="shared" si="2"/>
        <v/>
      </c>
      <c r="D98" s="412" t="str">
        <f t="shared" si="13"/>
        <v/>
      </c>
      <c r="E98" s="413" t="str">
        <f t="shared" si="4"/>
        <v/>
      </c>
      <c r="F98" s="354" t="str">
        <f t="shared" si="14"/>
        <v/>
      </c>
      <c r="G98" s="339" t="str">
        <f t="shared" si="15"/>
        <v/>
      </c>
      <c r="H98" s="339" t="str">
        <f t="shared" si="16"/>
        <v/>
      </c>
      <c r="I98" s="352" t="str">
        <f t="shared" si="17"/>
        <v/>
      </c>
      <c r="J98" s="352" t="str">
        <f t="shared" si="18"/>
        <v/>
      </c>
      <c r="K98" s="352" t="str">
        <f t="shared" si="19"/>
        <v/>
      </c>
      <c r="L98" s="355" t="str">
        <f t="shared" si="20"/>
        <v/>
      </c>
      <c r="M98" s="356" t="s">
        <v>15</v>
      </c>
      <c r="N98" s="357" t="s">
        <v>15</v>
      </c>
      <c r="O98" s="357" t="s">
        <v>15</v>
      </c>
      <c r="P98" s="358"/>
      <c r="Q98" s="414"/>
      <c r="R98" s="376"/>
      <c r="S98" s="376"/>
      <c r="T98" s="376"/>
      <c r="U98" s="376"/>
      <c r="V98" s="376"/>
      <c r="W98" s="376"/>
      <c r="X98" s="375"/>
      <c r="Y98" s="377"/>
    </row>
    <row r="99">
      <c r="A99" s="351">
        <v>96.0</v>
      </c>
      <c r="B99" s="352" t="str">
        <f t="shared" si="12"/>
        <v/>
      </c>
      <c r="C99" s="337" t="str">
        <f t="shared" si="2"/>
        <v/>
      </c>
      <c r="D99" s="412" t="str">
        <f t="shared" si="13"/>
        <v/>
      </c>
      <c r="E99" s="413" t="str">
        <f t="shared" si="4"/>
        <v/>
      </c>
      <c r="F99" s="354" t="str">
        <f t="shared" si="14"/>
        <v/>
      </c>
      <c r="G99" s="339" t="str">
        <f t="shared" si="15"/>
        <v/>
      </c>
      <c r="H99" s="339" t="str">
        <f t="shared" si="16"/>
        <v/>
      </c>
      <c r="I99" s="352" t="str">
        <f t="shared" si="17"/>
        <v/>
      </c>
      <c r="J99" s="352" t="str">
        <f t="shared" si="18"/>
        <v/>
      </c>
      <c r="K99" s="352" t="str">
        <f t="shared" si="19"/>
        <v/>
      </c>
      <c r="L99" s="355" t="str">
        <f t="shared" si="20"/>
        <v/>
      </c>
      <c r="M99" s="356" t="s">
        <v>15</v>
      </c>
      <c r="N99" s="357" t="s">
        <v>15</v>
      </c>
      <c r="O99" s="357" t="s">
        <v>15</v>
      </c>
      <c r="P99" s="358"/>
      <c r="Q99" s="415"/>
      <c r="R99" s="369"/>
      <c r="S99" s="369"/>
      <c r="T99" s="369"/>
      <c r="U99" s="369"/>
      <c r="V99" s="369"/>
      <c r="W99" s="369"/>
      <c r="X99" s="368"/>
      <c r="Y99" s="371"/>
    </row>
    <row r="100">
      <c r="A100" s="351">
        <v>97.0</v>
      </c>
      <c r="B100" s="352" t="str">
        <f t="shared" si="12"/>
        <v/>
      </c>
      <c r="C100" s="337" t="str">
        <f t="shared" si="2"/>
        <v/>
      </c>
      <c r="D100" s="412" t="str">
        <f t="shared" si="13"/>
        <v/>
      </c>
      <c r="E100" s="413" t="str">
        <f t="shared" si="4"/>
        <v/>
      </c>
      <c r="F100" s="354" t="str">
        <f t="shared" si="14"/>
        <v/>
      </c>
      <c r="G100" s="339" t="str">
        <f t="shared" si="15"/>
        <v/>
      </c>
      <c r="H100" s="339" t="str">
        <f t="shared" si="16"/>
        <v/>
      </c>
      <c r="I100" s="352" t="str">
        <f t="shared" si="17"/>
        <v/>
      </c>
      <c r="J100" s="352" t="str">
        <f t="shared" si="18"/>
        <v/>
      </c>
      <c r="K100" s="352" t="str">
        <f t="shared" si="19"/>
        <v/>
      </c>
      <c r="L100" s="355" t="str">
        <f t="shared" si="20"/>
        <v/>
      </c>
      <c r="M100" s="356" t="s">
        <v>15</v>
      </c>
      <c r="N100" s="357" t="s">
        <v>15</v>
      </c>
      <c r="O100" s="357" t="s">
        <v>15</v>
      </c>
      <c r="P100" s="358"/>
      <c r="Q100" s="414"/>
      <c r="R100" s="376"/>
      <c r="S100" s="376"/>
      <c r="T100" s="376"/>
      <c r="U100" s="376"/>
      <c r="V100" s="376"/>
      <c r="W100" s="376"/>
      <c r="X100" s="375"/>
      <c r="Y100" s="377"/>
    </row>
    <row r="101">
      <c r="A101" s="351">
        <v>98.0</v>
      </c>
      <c r="B101" s="352" t="str">
        <f t="shared" si="12"/>
        <v/>
      </c>
      <c r="C101" s="337" t="str">
        <f t="shared" si="2"/>
        <v/>
      </c>
      <c r="D101" s="412" t="str">
        <f t="shared" si="13"/>
        <v/>
      </c>
      <c r="E101" s="413" t="str">
        <f t="shared" si="4"/>
        <v/>
      </c>
      <c r="F101" s="354" t="str">
        <f t="shared" si="14"/>
        <v/>
      </c>
      <c r="G101" s="339" t="str">
        <f t="shared" si="15"/>
        <v/>
      </c>
      <c r="H101" s="339" t="str">
        <f t="shared" si="16"/>
        <v/>
      </c>
      <c r="I101" s="352" t="str">
        <f t="shared" si="17"/>
        <v/>
      </c>
      <c r="J101" s="352" t="str">
        <f t="shared" si="18"/>
        <v/>
      </c>
      <c r="K101" s="352" t="str">
        <f t="shared" si="19"/>
        <v/>
      </c>
      <c r="L101" s="355" t="str">
        <f t="shared" si="20"/>
        <v/>
      </c>
      <c r="M101" s="356" t="s">
        <v>15</v>
      </c>
      <c r="N101" s="357" t="s">
        <v>15</v>
      </c>
      <c r="O101" s="357" t="s">
        <v>15</v>
      </c>
      <c r="P101" s="358"/>
      <c r="Q101" s="415"/>
      <c r="R101" s="369"/>
      <c r="S101" s="369"/>
      <c r="T101" s="369"/>
      <c r="U101" s="369"/>
      <c r="V101" s="369"/>
      <c r="W101" s="369"/>
      <c r="X101" s="368"/>
      <c r="Y101" s="371"/>
    </row>
    <row r="102">
      <c r="A102" s="378">
        <v>99.0</v>
      </c>
      <c r="B102" s="379" t="str">
        <f t="shared" si="12"/>
        <v/>
      </c>
      <c r="C102" s="337" t="str">
        <f t="shared" si="2"/>
        <v/>
      </c>
      <c r="D102" s="416" t="str">
        <f t="shared" si="13"/>
        <v/>
      </c>
      <c r="E102" s="417" t="str">
        <f t="shared" si="4"/>
        <v/>
      </c>
      <c r="F102" s="354" t="str">
        <f t="shared" si="14"/>
        <v/>
      </c>
      <c r="G102" s="339" t="str">
        <f t="shared" si="15"/>
        <v/>
      </c>
      <c r="H102" s="339" t="str">
        <f t="shared" si="16"/>
        <v/>
      </c>
      <c r="I102" s="352" t="str">
        <f t="shared" si="17"/>
        <v/>
      </c>
      <c r="J102" s="352" t="str">
        <f t="shared" si="18"/>
        <v/>
      </c>
      <c r="K102" s="352" t="str">
        <f t="shared" si="19"/>
        <v/>
      </c>
      <c r="L102" s="355" t="str">
        <f t="shared" si="20"/>
        <v/>
      </c>
      <c r="M102" s="384" t="s">
        <v>15</v>
      </c>
      <c r="N102" s="385" t="s">
        <v>15</v>
      </c>
      <c r="O102" s="385" t="s">
        <v>15</v>
      </c>
      <c r="P102" s="386"/>
      <c r="Q102" s="418"/>
      <c r="R102" s="390"/>
      <c r="S102" s="390"/>
      <c r="T102" s="390"/>
      <c r="U102" s="390"/>
      <c r="V102" s="390"/>
      <c r="W102" s="390"/>
      <c r="X102" s="391"/>
      <c r="Y102" s="392"/>
    </row>
  </sheetData>
  <mergeCells count="15">
    <mergeCell ref="Q6:S6"/>
    <mergeCell ref="Q7:S7"/>
    <mergeCell ref="Q8:S8"/>
    <mergeCell ref="Q9:S9"/>
    <mergeCell ref="Q10:S10"/>
    <mergeCell ref="Q11:S11"/>
    <mergeCell ref="Q12:S12"/>
    <mergeCell ref="Q13:Y13"/>
    <mergeCell ref="A1:E1"/>
    <mergeCell ref="M1:P1"/>
    <mergeCell ref="Q1:R1"/>
    <mergeCell ref="S1:U1"/>
    <mergeCell ref="Q3:S3"/>
    <mergeCell ref="Q4:S4"/>
    <mergeCell ref="Q5:S5"/>
  </mergeCells>
  <conditionalFormatting sqref="C3:C12 C14:C102">
    <cfRule type="cellIs" dxfId="3" priority="1" operator="equal">
      <formula>"A"</formula>
    </cfRule>
  </conditionalFormatting>
  <conditionalFormatting sqref="C3:C12 C14:C102">
    <cfRule type="cellIs" dxfId="4" priority="2" operator="equal">
      <formula>"B"</formula>
    </cfRule>
  </conditionalFormatting>
  <conditionalFormatting sqref="C3:C12 C14:C102">
    <cfRule type="cellIs" dxfId="5" priority="3" operator="equal">
      <formula>"C1"</formula>
    </cfRule>
  </conditionalFormatting>
  <conditionalFormatting sqref="C3:C12 C14:C102">
    <cfRule type="cellIs" dxfId="6" priority="4" operator="equal">
      <formula>"C2"</formula>
    </cfRule>
  </conditionalFormatting>
  <conditionalFormatting sqref="C3:C12 C14:C102">
    <cfRule type="cellIs" dxfId="7" priority="5" operator="equal">
      <formula>"D"</formula>
    </cfRule>
  </conditionalFormatting>
  <conditionalFormatting sqref="C3:C12 C14:C102">
    <cfRule type="cellIs" dxfId="8" priority="6" operator="equal">
      <formula>"R"</formula>
    </cfRule>
  </conditionalFormatting>
  <conditionalFormatting sqref="C3:C12 C14:C102">
    <cfRule type="cellIs" dxfId="9" priority="7" operator="equal">
      <formula>"N"</formula>
    </cfRule>
  </conditionalFormatting>
  <conditionalFormatting sqref="C3:C12 C14:C102">
    <cfRule type="cellIs" dxfId="15" priority="8" operator="equal">
      <formula>"NL"</formula>
    </cfRule>
  </conditionalFormatting>
  <conditionalFormatting sqref="A6:P6 K14:K102">
    <cfRule type="expression" dxfId="16" priority="9">
      <formula>M</formula>
    </cfRule>
  </conditionalFormatting>
  <conditionalFormatting sqref="A3:P12 A14:P102">
    <cfRule type="expression" dxfId="17" priority="10">
      <formula>$T3=""</formula>
    </cfRule>
  </conditionalFormatting>
  <conditionalFormatting sqref="W3:W12">
    <cfRule type="notContainsBlanks" dxfId="16" priority="11">
      <formula>LEN(TRIM(W3))&gt;0</formula>
    </cfRule>
  </conditionalFormatting>
  <dataValidations>
    <dataValidation type="list" allowBlank="1" showErrorMessage="1" sqref="N3:N12 N14:N102">
      <formula1>'システム用シート'!$B$4:$B$34</formula1>
    </dataValidation>
    <dataValidation type="list" allowBlank="1" showErrorMessage="1" sqref="M3:M12 M14:M102">
      <formula1>"-,参加,キャンセル"</formula1>
    </dataValidation>
    <dataValidation type="list" allowBlank="1" showErrorMessage="1" sqref="O3:O12 O14:O102">
      <formula1>'システム用シート'!$C$4:$C$34</formula1>
    </dataValidation>
    <dataValidation type="list" allowBlank="1" showErrorMessage="1" sqref="W3:W12">
      <formula1>"A級,B級,C1級,C2級,D級（にじれん！認定）,R級（にじれん！認定）,N級,NL級"</formula1>
    </dataValidation>
  </dataValidations>
  <hyperlinks>
    <hyperlink r:id="rId1" location="gid=1462815136" ref="S1"/>
  </hyperlinks>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3.88"/>
    <col customWidth="1" min="3" max="3" width="13.38"/>
    <col customWidth="1" min="4" max="4" width="10.13"/>
    <col customWidth="1" min="5" max="5" width="11.63"/>
  </cols>
  <sheetData>
    <row r="2">
      <c r="B2" s="185" t="s">
        <v>75</v>
      </c>
      <c r="C2" s="95"/>
      <c r="D2" s="95"/>
      <c r="E2" s="96"/>
    </row>
    <row r="3" ht="22.5" customHeight="1">
      <c r="B3" s="186" t="str">
        <f>'計測入力シート（ここのみ編集可）'!AL7</f>
        <v>A</v>
      </c>
      <c r="C3" s="187" t="str">
        <f>'計測入力シート（ここのみ編集可）'!AM7</f>
        <v>OKOK</v>
      </c>
      <c r="D3" s="188" t="str">
        <f>'計測入力シート（ここのみ編集可）'!AN7</f>
        <v>NSR250</v>
      </c>
      <c r="E3" s="189" t="str">
        <f>'計測入力シート（ここのみ編集可）'!AO7</f>
        <v>1:37:606</v>
      </c>
    </row>
    <row r="4">
      <c r="B4" s="190"/>
    </row>
    <row r="5">
      <c r="B5" s="185" t="s">
        <v>76</v>
      </c>
      <c r="C5" s="95"/>
      <c r="D5" s="95"/>
      <c r="E5" s="96"/>
    </row>
    <row r="6" ht="22.5" customHeight="1">
      <c r="B6" s="191" t="str">
        <f>'計測入力シート（ここのみ編集可）'!AL8</f>
        <v>A</v>
      </c>
      <c r="C6" s="192" t="str">
        <f>'計測入力シート（ここのみ編集可）'!AM8</f>
        <v>OKOK</v>
      </c>
      <c r="D6" s="193" t="str">
        <f>'計測入力シート（ここのみ編集可）'!AN8</f>
        <v>NSR250</v>
      </c>
      <c r="E6" s="194" t="str">
        <f>'計測入力シート（ここのみ編集可）'!AO8</f>
        <v>1:37:606</v>
      </c>
    </row>
    <row r="7" ht="22.5" customHeight="1">
      <c r="B7" s="191" t="str">
        <f>'計測入力シート（ここのみ編集可）'!AL9</f>
        <v>A</v>
      </c>
      <c r="C7" s="192" t="str">
        <f>'計測入力シート（ここのみ編集可）'!AM9</f>
        <v>ray</v>
      </c>
      <c r="D7" s="193" t="str">
        <f>'計測入力シート（ここのみ編集可）'!AN9</f>
        <v>YZ250X</v>
      </c>
      <c r="E7" s="194" t="str">
        <f>'計測入力シート（ここのみ編集可）'!AO9</f>
        <v>1:40:220</v>
      </c>
    </row>
    <row r="8" ht="22.5" customHeight="1">
      <c r="B8" s="186" t="str">
        <f>'計測入力シート（ここのみ編集可）'!AL10</f>
        <v>A</v>
      </c>
      <c r="C8" s="187" t="str">
        <f>'計測入力シート（ここのみ編集可）'!AM10</f>
        <v>しゃんばり</v>
      </c>
      <c r="D8" s="188" t="str">
        <f>'計測入力シート（ここのみ編集可）'!AN10</f>
        <v>VTR</v>
      </c>
      <c r="E8" s="189" t="str">
        <f>'計測入力シート（ここのみ編集可）'!AO10</f>
        <v>9:99:999</v>
      </c>
    </row>
    <row r="9">
      <c r="C9" s="190"/>
      <c r="D9" s="190"/>
      <c r="E9" s="190"/>
    </row>
    <row r="10" ht="31.5" customHeight="1">
      <c r="B10" s="195" t="str">
        <f>'計測入力シート（ここのみ編集可）'!AL14</f>
        <v>A</v>
      </c>
      <c r="C10" s="196" t="str">
        <f>'計測入力シート（ここのみ編集可）'!AM14</f>
        <v>OKOK</v>
      </c>
      <c r="D10" s="197" t="str">
        <f>'計測入力シート（ここのみ編集可）'!AN14</f>
        <v>NSR250</v>
      </c>
      <c r="E10" s="198" t="str">
        <f>'計測入力シート（ここのみ編集可）'!AO14</f>
        <v>1:37:606</v>
      </c>
    </row>
  </sheetData>
  <mergeCells count="3">
    <mergeCell ref="B2:E2"/>
    <mergeCell ref="B4:E4"/>
    <mergeCell ref="B5:E5"/>
  </mergeCells>
  <conditionalFormatting sqref="B3 B6:B8 B10">
    <cfRule type="cellIs" dxfId="3" priority="1" operator="equal">
      <formula>"A"</formula>
    </cfRule>
  </conditionalFormatting>
  <conditionalFormatting sqref="B3 B6:B8 B10">
    <cfRule type="cellIs" dxfId="4" priority="2" operator="equal">
      <formula>"B"</formula>
    </cfRule>
  </conditionalFormatting>
  <conditionalFormatting sqref="B3 B6:B8 B10">
    <cfRule type="cellIs" dxfId="5" priority="3" operator="equal">
      <formula>"C1"</formula>
    </cfRule>
  </conditionalFormatting>
  <conditionalFormatting sqref="B3 B6:B8 B10">
    <cfRule type="cellIs" dxfId="6" priority="4" operator="equal">
      <formula>"C2"</formula>
    </cfRule>
  </conditionalFormatting>
  <conditionalFormatting sqref="B3 B6:B8 B10">
    <cfRule type="cellIs" dxfId="7" priority="5" operator="equal">
      <formula>"D"</formula>
    </cfRule>
  </conditionalFormatting>
  <conditionalFormatting sqref="B3 B6:B8 B10">
    <cfRule type="cellIs" dxfId="8" priority="6" operator="equal">
      <formula>"R"</formula>
    </cfRule>
  </conditionalFormatting>
  <conditionalFormatting sqref="B3 B6:B8 B10">
    <cfRule type="cellIs" dxfId="9" priority="7" operator="equal">
      <formula>"N"</formula>
    </cfRule>
  </conditionalFormatting>
  <conditionalFormatting sqref="B3 B6:B8 B10">
    <cfRule type="cellIs" dxfId="10" priority="8" operator="equal">
      <formula>"NL"</formula>
    </cfRule>
  </conditionalFormatting>
  <conditionalFormatting sqref="B3 B6:B8 B10">
    <cfRule type="cellIs" dxfId="11" priority="9" operator="equal">
      <formula>"A"</formula>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2" width="6.88"/>
    <col customWidth="1" min="3" max="3" width="0.38"/>
    <col customWidth="1" min="4" max="4" width="7.63"/>
    <col customWidth="1" min="5" max="5" width="18.63"/>
    <col customWidth="1" min="6" max="6" width="17.88"/>
    <col customWidth="1" min="7" max="7" width="15.13"/>
    <col customWidth="1" min="8" max="8" width="7.63"/>
    <col customWidth="1" min="9" max="9" width="15.13"/>
    <col customWidth="1" min="10" max="10" width="7.63"/>
    <col customWidth="1" min="11" max="11" width="15.13"/>
    <col customWidth="1" min="12" max="17" width="7.63"/>
  </cols>
  <sheetData>
    <row r="1" ht="12.75" customHeight="1"/>
    <row r="2" ht="31.5" customHeight="1">
      <c r="D2" s="199" t="s">
        <v>77</v>
      </c>
      <c r="E2" s="200"/>
      <c r="F2" s="200"/>
      <c r="G2" s="200"/>
      <c r="H2" s="200"/>
      <c r="I2" s="200"/>
      <c r="J2" s="200"/>
      <c r="K2" s="200"/>
      <c r="L2" s="200"/>
      <c r="M2" s="200"/>
      <c r="N2" s="200"/>
      <c r="O2" s="200"/>
      <c r="P2" s="200"/>
      <c r="Q2" s="201"/>
    </row>
    <row r="3" ht="14.25" customHeight="1">
      <c r="D3" s="202" t="s">
        <v>1</v>
      </c>
      <c r="E3" s="203" t="s">
        <v>17</v>
      </c>
      <c r="F3" s="204" t="s">
        <v>18</v>
      </c>
      <c r="G3" s="205" t="s">
        <v>20</v>
      </c>
      <c r="I3" s="205" t="s">
        <v>21</v>
      </c>
      <c r="K3" s="203" t="s">
        <v>78</v>
      </c>
      <c r="L3" s="206" t="s">
        <v>25</v>
      </c>
      <c r="M3" s="206" t="s">
        <v>79</v>
      </c>
      <c r="N3" s="207" t="s">
        <v>80</v>
      </c>
      <c r="O3" s="206" t="s">
        <v>81</v>
      </c>
      <c r="P3" s="206" t="s">
        <v>82</v>
      </c>
      <c r="Q3" s="208" t="s">
        <v>83</v>
      </c>
    </row>
    <row r="4" ht="17.25" customHeight="1">
      <c r="D4" s="83"/>
      <c r="E4" s="209"/>
      <c r="G4" s="203" t="s">
        <v>60</v>
      </c>
      <c r="H4" s="206" t="s">
        <v>84</v>
      </c>
      <c r="I4" s="203" t="s">
        <v>60</v>
      </c>
      <c r="J4" s="206" t="s">
        <v>84</v>
      </c>
      <c r="K4" s="209"/>
      <c r="N4" s="210"/>
      <c r="Q4" s="85"/>
    </row>
    <row r="5" ht="22.5" customHeight="1">
      <c r="A5" s="86" t="s">
        <v>85</v>
      </c>
      <c r="B5" s="86">
        <v>1.0</v>
      </c>
      <c r="C5" s="86"/>
      <c r="D5" s="211" t="str">
        <f t="array" ref="D5">IFERROR(INDEX('計測入力シート（ここのみ編集可）'!$B$17:$B$116,MATCH($A5&amp;$B5,'計測入力シート（ここのみ編集可）'!$BM$17:$BM$116,0)),"")</f>
        <v>A</v>
      </c>
      <c r="E5" s="212" t="str">
        <f t="array" ref="E5">IFERROR(INDEX('計測入力シート（ここのみ編集可）'!$D$17:$D$116,MATCH($A5&amp;$B5,'計測入力シート（ここのみ編集可）'!$BM$17:$BM$116,0)),"")</f>
        <v>OKOK</v>
      </c>
      <c r="F5" s="212" t="str">
        <f t="array" ref="F5">IFERROR(INDEX('計測入力シート（ここのみ編集可）'!$E$17:$E$116,MATCH($A5&amp;$B5,'計測入力シート（ここのみ編集可）'!$BM$17:$BM$116,0)),"")</f>
        <v>NSR250</v>
      </c>
      <c r="G5" s="213" t="str">
        <f t="array" ref="G5">IFERROR(INDEX('計測入力シート（ここのみ編集可）'!$AW$17:$AW$116,MATCH($A5&amp;$B5,'計測入力シート（ここのみ編集可）'!$BM$17:$BM$116,0)),"")</f>
        <v>1:37:606</v>
      </c>
      <c r="H5" s="212" t="str">
        <f t="array" ref="H5">IFERROR(INDEX('計測入力シート（ここのみ編集可）'!$AY$17:$AY$116,MATCH($A5&amp;$B5,'計測入力シート（ここのみ編集可）'!$BM$17:$BM$116,0)),"")</f>
        <v>-</v>
      </c>
      <c r="I5" s="214" t="str">
        <f t="array" ref="I5">IFERROR(INDEX('計測入力シート（ここのみ編集可）'!$AZ$17:$AZ$116,MATCH($A5&amp;$B5,'計測入力シート（ここのみ編集可）'!$BM$17:$BM$116,0)),"")</f>
        <v>1:37:784</v>
      </c>
      <c r="J5" s="212" t="str">
        <f t="array" ref="J5">IFERROR(INDEX('計測入力シート（ここのみ編集可）'!$BB$17:$BB$116,MATCH($A5&amp;$B5,'計測入力シート（ここのみ編集可）'!$BM$17:$BM$116,0)),"")</f>
        <v>-</v>
      </c>
      <c r="K5" s="214" t="str">
        <f t="array" ref="K5">IFERROR(INDEX('計測入力シート（ここのみ編集可）'!$BC$17:$BC$116,MATCH($A5&amp;$B5,'計測入力シート（ここのみ編集可）'!$BM$17:$BM$116,0)),"")</f>
        <v>1:37:606</v>
      </c>
      <c r="L5" s="215">
        <f t="array" ref="L5">IFERROR(INDEX('計測入力シート（ここのみ編集可）'!$BD$17:$BD$116,MATCH($A5&amp;$B5,'計測入力シート（ここのみ編集可）'!$BM$17:$BM$116,0)),"")</f>
        <v>1</v>
      </c>
      <c r="M5" s="215">
        <f t="array" ref="M5">IFERROR(INDEX('計測入力シート（ここのみ編集可）'!$BE$17:$BE$116,MATCH($A5&amp;$B5,'計測入力シート（ここのみ編集可）'!$BM$17:$BM$116,0)),"")</f>
        <v>1</v>
      </c>
      <c r="N5" s="214">
        <f t="array" ref="N5">IFERROR(INDEX('計測入力シート（ここのみ編集可）'!$BN$17:$BN$116,MATCH($A5&amp;$B5,'計測入力シート（ここのみ編集可）'!$BM$17:$BM$116,0)),"")</f>
        <v>1</v>
      </c>
      <c r="O5" s="214" t="str">
        <f t="array" ref="O5">IFERROR(INDEX('計測入力シート（ここのみ編集可）'!$BP$17:$BP$116,MATCH($A5&amp;$B5,'計測入力シート（ここのみ編集可）'!$BM$17:$BM$116,0)),"")</f>
        <v>-</v>
      </c>
      <c r="P5" s="214" t="str">
        <f t="array" ref="P5">IFERROR(INDEX('計測入力シート（ここのみ編集可）'!$BR$17:$BR$116,MATCH($A5&amp;$B5,'計測入力シート（ここのみ編集可）'!$BM$17:$BM$116,0)),"")</f>
        <v>-</v>
      </c>
      <c r="Q5" s="216">
        <f t="array" ref="Q5">IFERROR(INDEX('計測入力シート（ここのみ編集可）'!$BL$17:$BL$116,MATCH($A5&amp;$B5,'計測入力シート（ここのみ編集可）'!$BM$17:$BM$116,0)),"")</f>
        <v>1</v>
      </c>
    </row>
    <row r="6" ht="22.5" customHeight="1">
      <c r="A6" s="86" t="s">
        <v>85</v>
      </c>
      <c r="B6" s="86">
        <v>2.0</v>
      </c>
      <c r="C6" s="86"/>
      <c r="D6" s="217" t="str">
        <f t="array" ref="D6">IFERROR(INDEX('計測入力シート（ここのみ編集可）'!$B$17:$B$116,MATCH($A6&amp;$B6,'計測入力シート（ここのみ編集可）'!$BM$17:$BM$116,0)),"")</f>
        <v>A</v>
      </c>
      <c r="E6" s="212" t="str">
        <f t="array" ref="E6">IFERROR(INDEX('計測入力シート（ここのみ編集可）'!$D$17:$D$116,MATCH($A6&amp;$B6,'計測入力シート（ここのみ編集可）'!$BM$17:$BM$116,0)),"")</f>
        <v>ray</v>
      </c>
      <c r="F6" s="212" t="str">
        <f t="array" ref="F6">IFERROR(INDEX('計測入力シート（ここのみ編集可）'!$E$17:$E$116,MATCH($A6&amp;$B6,'計測入力シート（ここのみ編集可）'!$BM$17:$BM$116,0)),"")</f>
        <v>YZ250X</v>
      </c>
      <c r="G6" s="213" t="str">
        <f t="array" ref="G6">IFERROR(INDEX('計測入力シート（ここのみ編集可）'!$AW$17:$AW$116,MATCH($A6&amp;$B6,'計測入力シート（ここのみ編集可）'!$BM$17:$BM$116,0)),"")</f>
        <v>1:39:220</v>
      </c>
      <c r="H6" s="212">
        <f t="array" ref="H6">IFERROR(INDEX('計測入力シート（ここのみ編集可）'!$AY$17:$AY$116,MATCH($A6&amp;$B6,'計測入力シート（ここのみ編集可）'!$BM$17:$BM$116,0)),"")</f>
        <v>1</v>
      </c>
      <c r="I6" s="214" t="str">
        <f t="array" ref="I6">IFERROR(INDEX('計測入力シート（ここのみ編集可）'!$AZ$17:$AZ$116,MATCH($A6&amp;$B6,'計測入力シート（ここのみ編集可）'!$BM$17:$BM$116,0)),"")</f>
        <v>9:99:999</v>
      </c>
      <c r="J6" s="212" t="str">
        <f t="array" ref="J6">IFERROR(INDEX('計測入力シート（ここのみ編集可）'!$BB$17:$BB$116,MATCH($A6&amp;$B6,'計測入力シート（ここのみ編集可）'!$BM$17:$BM$116,0)),"")</f>
        <v>MC</v>
      </c>
      <c r="K6" s="214" t="str">
        <f t="array" ref="K6">IFERROR(INDEX('計測入力シート（ここのみ編集可）'!$BC$17:$BC$116,MATCH($A6&amp;$B6,'計測入力シート（ここのみ編集可）'!$BM$17:$BM$116,0)),"")</f>
        <v>1:40:220</v>
      </c>
      <c r="L6" s="215">
        <f t="array" ref="L6">IFERROR(INDEX('計測入力シート（ここのみ編集可）'!$BD$17:$BD$116,MATCH($A6&amp;$B6,'計測入力シート（ここのみ編集可）'!$BM$17:$BM$116,0)),"")</f>
        <v>1.026781141</v>
      </c>
      <c r="M6" s="215">
        <f t="array" ref="M6">IFERROR(INDEX('計測入力シート（ここのみ編集可）'!$BE$17:$BE$116,MATCH($A6&amp;$B6,'計測入力シート（ここのみ編集可）'!$BM$17:$BM$116,0)),"")</f>
        <v>1.026781141</v>
      </c>
      <c r="N6" s="214">
        <f t="array" ref="N6">IFERROR(INDEX('計測入力シート（ここのみ編集可）'!$BN$17:$BN$116,MATCH($A6&amp;$B6,'計測入力シート（ここのみ編集可）'!$BM$17:$BM$116,0)),"")</f>
        <v>2</v>
      </c>
      <c r="O6" s="214" t="str">
        <f t="array" ref="O6">IFERROR(INDEX('計測入力シート（ここのみ編集可）'!$BP$17:$BP$116,MATCH($A6&amp;$B6,'計測入力シート（ここのみ編集可）'!$BM$17:$BM$116,0)),"")</f>
        <v>-</v>
      </c>
      <c r="P6" s="214" t="str">
        <f t="array" ref="P6">IFERROR(INDEX('計測入力シート（ここのみ編集可）'!$BR$17:$BR$116,MATCH($A6&amp;$B6,'計測入力シート（ここのみ編集可）'!$BM$17:$BM$116,0)),"")</f>
        <v>-</v>
      </c>
      <c r="Q6" s="216">
        <f t="array" ref="Q6">IFERROR(INDEX('計測入力シート（ここのみ編集可）'!$BL$17:$BL$116,MATCH($A6&amp;$B6,'計測入力シート（ここのみ編集可）'!$BM$17:$BM$116,0)),"")</f>
        <v>3</v>
      </c>
    </row>
    <row r="7" ht="22.5" customHeight="1">
      <c r="A7" s="86" t="s">
        <v>85</v>
      </c>
      <c r="B7" s="86">
        <v>3.0</v>
      </c>
      <c r="C7" s="86"/>
      <c r="D7" s="217" t="str">
        <f t="array" ref="D7">IFERROR(INDEX('計測入力シート（ここのみ編集可）'!$B$17:$B$116,MATCH($A7&amp;$B7,'計測入力シート（ここのみ編集可）'!$BM$17:$BM$116,0)),"")</f>
        <v>A</v>
      </c>
      <c r="E7" s="212" t="str">
        <f t="array" ref="E7">IFERROR(INDEX('計測入力シート（ここのみ編集可）'!$D$17:$D$116,MATCH($A7&amp;$B7,'計測入力シート（ここのみ編集可）'!$BM$17:$BM$116,0)),"")</f>
        <v>しゃんばり</v>
      </c>
      <c r="F7" s="212" t="str">
        <f t="array" ref="F7">IFERROR(INDEX('計測入力シート（ここのみ編集可）'!$E$17:$E$116,MATCH($A7&amp;$B7,'計測入力シート（ここのみ編集可）'!$BM$17:$BM$116,0)),"")</f>
        <v>VTR</v>
      </c>
      <c r="G7" s="213" t="str">
        <f t="array" ref="G7">IFERROR(INDEX('計測入力シート（ここのみ編集可）'!$AW$17:$AW$116,MATCH($A7&amp;$B7,'計測入力シート（ここのみ編集可）'!$BM$17:$BM$116,0)),"")</f>
        <v>9:99:999</v>
      </c>
      <c r="H7" s="212" t="str">
        <f t="array" ref="H7">IFERROR(INDEX('計測入力シート（ここのみ編集可）'!$AY$17:$AY$116,MATCH($A7&amp;$B7,'計測入力シート（ここのみ編集可）'!$BM$17:$BM$116,0)),"")</f>
        <v>MC</v>
      </c>
      <c r="I7" s="214" t="str">
        <f t="array" ref="I7">IFERROR(INDEX('計測入力シート（ここのみ編集可）'!$AZ$17:$AZ$116,MATCH($A7&amp;$B7,'計測入力シート（ここのみ編集可）'!$BM$17:$BM$116,0)),"")</f>
        <v>9:99:999</v>
      </c>
      <c r="J7" s="212" t="str">
        <f t="array" ref="J7">IFERROR(INDEX('計測入力シート（ここのみ編集可）'!$BB$17:$BB$116,MATCH($A7&amp;$B7,'計測入力シート（ここのみ編集可）'!$BM$17:$BM$116,0)),"")</f>
        <v>MC</v>
      </c>
      <c r="K7" s="214" t="str">
        <f t="array" ref="K7">IFERROR(INDEX('計測入力シート（ここのみ編集可）'!$BC$17:$BC$116,MATCH($A7&amp;$B7,'計測入力シート（ここのみ編集可）'!$BM$17:$BM$116,0)),"")</f>
        <v>9:99:999</v>
      </c>
      <c r="L7" s="215" t="str">
        <f t="array" ref="L7">IFERROR(INDEX('計測入力シート（ここのみ編集可）'!$BD$17:$BD$116,MATCH($A7&amp;$B7,'計測入力シート（ここのみ編集可）'!$BM$17:$BM$116,0)),"")</f>
        <v>-</v>
      </c>
      <c r="M7" s="215" t="str">
        <f t="array" ref="M7">IFERROR(INDEX('計測入力シート（ここのみ編集可）'!$BE$17:$BE$116,MATCH($A7&amp;$B7,'計測入力シート（ここのみ編集可）'!$BM$17:$BM$116,0)),"")</f>
        <v>-</v>
      </c>
      <c r="N7" s="214">
        <f t="array" ref="N7">IFERROR(INDEX('計測入力シート（ここのみ編集可）'!$BN$17:$BN$116,MATCH($A7&amp;$B7,'計測入力シート（ここのみ編集可）'!$BM$17:$BM$116,0)),"")</f>
        <v>3</v>
      </c>
      <c r="O7" s="214" t="str">
        <f t="array" ref="O7">IFERROR(INDEX('計測入力シート（ここのみ編集可）'!$BP$17:$BP$116,MATCH($A7&amp;$B7,'計測入力シート（ここのみ編集可）'!$BM$17:$BM$116,0)),"")</f>
        <v>-</v>
      </c>
      <c r="P7" s="214" t="str">
        <f t="array" ref="P7">IFERROR(INDEX('計測入力シート（ここのみ編集可）'!$BR$17:$BR$116,MATCH($A7&amp;$B7,'計測入力シート（ここのみ編集可）'!$BM$17:$BM$116,0)),"")</f>
        <v>-</v>
      </c>
      <c r="Q7" s="216">
        <f t="array" ref="Q7">IFERROR(INDEX('計測入力シート（ここのみ編集可）'!$BL$17:$BL$116,MATCH($A7&amp;$B7,'計測入力シート（ここのみ編集可）'!$BM$17:$BM$116,0)),"")</f>
        <v>51</v>
      </c>
    </row>
    <row r="8" ht="22.5" customHeight="1">
      <c r="A8" s="86" t="s">
        <v>85</v>
      </c>
      <c r="B8" s="86">
        <v>4.0</v>
      </c>
      <c r="C8" s="86"/>
      <c r="D8" s="217" t="str">
        <f t="array" ref="D8">IFERROR(INDEX('計測入力シート（ここのみ編集可）'!$B$17:$B$116,MATCH($A8&amp;$B8,'計測入力シート（ここのみ編集可）'!$BM$17:$BM$116,0)),"")</f>
        <v>B</v>
      </c>
      <c r="E8" s="212" t="str">
        <f t="array" ref="E8">IFERROR(INDEX('計測入力シート（ここのみ編集可）'!$D$17:$D$116,MATCH($A8&amp;$B8,'計測入力シート（ここのみ編集可）'!$BM$17:$BM$116,0)),"")</f>
        <v>どmの</v>
      </c>
      <c r="F8" s="212" t="str">
        <f t="array" ref="F8">IFERROR(INDEX('計測入力シート（ここのみ編集可）'!$E$17:$E$116,MATCH($A8&amp;$B8,'計測入力シート（ここのみ編集可）'!$BM$17:$BM$116,0)),"")</f>
        <v>CBR600RR</v>
      </c>
      <c r="G8" s="213" t="str">
        <f t="array" ref="G8">IFERROR(INDEX('計測入力シート（ここのみ編集可）'!$AW$17:$AW$116,MATCH($A8&amp;$B8,'計測入力シート（ここのみ編集可）'!$BM$17:$BM$116,0)),"")</f>
        <v>1:51:604</v>
      </c>
      <c r="H8" s="212" t="str">
        <f t="array" ref="H8">IFERROR(INDEX('計測入力シート（ここのみ編集可）'!$AY$17:$AY$116,MATCH($A8&amp;$B8,'計測入力シート（ここのみ編集可）'!$BM$17:$BM$116,0)),"")</f>
        <v>-</v>
      </c>
      <c r="I8" s="214" t="str">
        <f t="array" ref="I8">IFERROR(INDEX('計測入力シート（ここのみ編集可）'!$AZ$17:$AZ$116,MATCH($A8&amp;$B8,'計測入力シート（ここのみ編集可）'!$BM$17:$BM$116,0)),"")</f>
        <v>1:39:460</v>
      </c>
      <c r="J8" s="212" t="str">
        <f t="array" ref="J8">IFERROR(INDEX('計測入力シート（ここのみ編集可）'!$BB$17:$BB$116,MATCH($A8&amp;$B8,'計測入力シート（ここのみ編集可）'!$BM$17:$BM$116,0)),"")</f>
        <v>-</v>
      </c>
      <c r="K8" s="214" t="str">
        <f t="array" ref="K8">IFERROR(INDEX('計測入力シート（ここのみ編集可）'!$BC$17:$BC$116,MATCH($A8&amp;$B8,'計測入力シート（ここのみ編集可）'!$BM$17:$BM$116,0)),"")</f>
        <v>1:39:460</v>
      </c>
      <c r="L8" s="215">
        <f t="array" ref="L8">IFERROR(INDEX('計測入力シート（ここのみ編集可）'!$BD$17:$BD$116,MATCH($A8&amp;$B8,'計測入力シート（ここのみ編集可）'!$BM$17:$BM$116,0)),"")</f>
        <v>1.018994734</v>
      </c>
      <c r="M8" s="215">
        <f t="array" ref="M8">IFERROR(INDEX('計測入力シート（ここのみ編集可）'!$BE$17:$BE$116,MATCH($A8&amp;$B8,'計測入力シート（ここのみ編集可）'!$BM$17:$BM$116,0)),"")</f>
        <v>1.018994734</v>
      </c>
      <c r="N8" s="214">
        <f t="array" ref="N8">IFERROR(INDEX('計測入力シート（ここのみ編集可）'!$BN$17:$BN$116,MATCH($A8&amp;$B8,'計測入力シート（ここのみ編集可）'!$BM$17:$BM$116,0)),"")</f>
        <v>1</v>
      </c>
      <c r="O8" s="214" t="str">
        <f t="array" ref="O8">IFERROR(INDEX('計測入力シート（ここのみ編集可）'!$BP$17:$BP$116,MATCH($A8&amp;$B8,'計測入力シート（ここのみ編集可）'!$BM$17:$BM$116,0)),"")</f>
        <v>-</v>
      </c>
      <c r="P8" s="214" t="str">
        <f t="array" ref="P8">IFERROR(INDEX('計測入力シート（ここのみ編集可）'!$BR$17:$BR$116,MATCH($A8&amp;$B8,'計測入力シート（ここのみ編集可）'!$BM$17:$BM$116,0)),"")</f>
        <v>-</v>
      </c>
      <c r="Q8" s="216">
        <f t="array" ref="Q8">IFERROR(INDEX('計測入力シート（ここのみ編集可）'!$BL$17:$BL$116,MATCH($A8&amp;$B8,'計測入力シート（ここのみ編集可）'!$BM$17:$BM$116,0)),"")</f>
        <v>2</v>
      </c>
    </row>
    <row r="9" ht="22.5" customHeight="1">
      <c r="A9" s="86" t="s">
        <v>85</v>
      </c>
      <c r="B9" s="86">
        <v>5.0</v>
      </c>
      <c r="C9" s="86"/>
      <c r="D9" s="217" t="str">
        <f t="array" ref="D9">IFERROR(INDEX('計測入力シート（ここのみ編集可）'!$B$17:$B$116,MATCH($A9&amp;$B9,'計測入力シート（ここのみ編集可）'!$BM$17:$BM$116,0)),"")</f>
        <v>B</v>
      </c>
      <c r="E9" s="212" t="str">
        <f t="array" ref="E9">IFERROR(INDEX('計測入力シート（ここのみ編集可）'!$D$17:$D$116,MATCH($A9&amp;$B9,'計測入力シート（ここのみ編集可）'!$BM$17:$BM$116,0)),"")</f>
        <v>motoDA</v>
      </c>
      <c r="F9" s="212" t="str">
        <f t="array" ref="F9">IFERROR(INDEX('計測入力シート（ここのみ編集可）'!$E$17:$E$116,MATCH($A9&amp;$B9,'計測入力シート（ここのみ編集可）'!$BM$17:$BM$116,0)),"")</f>
        <v>GROM</v>
      </c>
      <c r="G9" s="213" t="str">
        <f t="array" ref="G9">IFERROR(INDEX('計測入力シート（ここのみ編集可）'!$AW$17:$AW$116,MATCH($A9&amp;$B9,'計測入力シート（ここのみ編集可）'!$BM$17:$BM$116,0)),"")</f>
        <v>1:50:572</v>
      </c>
      <c r="H9" s="212">
        <f t="array" ref="H9">IFERROR(INDEX('計測入力シート（ここのみ編集可）'!$AY$17:$AY$116,MATCH($A9&amp;$B9,'計測入力シート（ここのみ編集可）'!$BM$17:$BM$116,0)),"")</f>
        <v>1</v>
      </c>
      <c r="I9" s="214" t="str">
        <f t="array" ref="I9">IFERROR(INDEX('計測入力シート（ここのみ編集可）'!$AZ$17:$AZ$116,MATCH($A9&amp;$B9,'計測入力シート（ここのみ編集可）'!$BM$17:$BM$116,0)),"")</f>
        <v>1:41:794</v>
      </c>
      <c r="J9" s="212">
        <f t="array" ref="J9">IFERROR(INDEX('計測入力シート（ここのみ編集可）'!$BB$17:$BB$116,MATCH($A9&amp;$B9,'計測入力シート（ここのみ編集可）'!$BM$17:$BM$116,0)),"")</f>
        <v>1</v>
      </c>
      <c r="K9" s="214" t="str">
        <f t="array" ref="K9">IFERROR(INDEX('計測入力シート（ここのみ編集可）'!$BC$17:$BC$116,MATCH($A9&amp;$B9,'計測入力シート（ここのみ編集可）'!$BM$17:$BM$116,0)),"")</f>
        <v>1:42:794</v>
      </c>
      <c r="L9" s="215">
        <f t="array" ref="L9">IFERROR(INDEX('計測入力シート（ここのみ編集可）'!$BD$17:$BD$116,MATCH($A9&amp;$B9,'計測入力シート（ここのみ編集可）'!$BM$17:$BM$116,0)),"")</f>
        <v>1.05315247</v>
      </c>
      <c r="M9" s="215">
        <f t="array" ref="M9">IFERROR(INDEX('計測入力シート（ここのみ編集可）'!$BE$17:$BE$116,MATCH($A9&amp;$B9,'計測入力シート（ここのみ編集可）'!$BM$17:$BM$116,0)),"")</f>
        <v>1.05315247</v>
      </c>
      <c r="N9" s="214">
        <f t="array" ref="N9">IFERROR(INDEX('計測入力シート（ここのみ編集可）'!$BN$17:$BN$116,MATCH($A9&amp;$B9,'計測入力シート（ここのみ編集可）'!$BM$17:$BM$116,0)),"")</f>
        <v>2</v>
      </c>
      <c r="O9" s="214" t="str">
        <f t="array" ref="O9">IFERROR(INDEX('計測入力シート（ここのみ編集可）'!$BP$17:$BP$116,MATCH($A9&amp;$B9,'計測入力シート（ここのみ編集可）'!$BM$17:$BM$116,0)),"")</f>
        <v>-</v>
      </c>
      <c r="P9" s="214" t="str">
        <f t="array" ref="P9">IFERROR(INDEX('計測入力シート（ここのみ編集可）'!$BR$17:$BR$116,MATCH($A9&amp;$B9,'計測入力シート（ここのみ編集可）'!$BM$17:$BM$116,0)),"")</f>
        <v>-</v>
      </c>
      <c r="Q9" s="216">
        <f t="array" ref="Q9">IFERROR(INDEX('計測入力シート（ここのみ編集可）'!$BL$17:$BL$116,MATCH($A9&amp;$B9,'計測入力シート（ここのみ編集可）'!$BM$17:$BM$116,0)),"")</f>
        <v>6</v>
      </c>
    </row>
    <row r="10" ht="22.5" customHeight="1">
      <c r="A10" s="86" t="s">
        <v>85</v>
      </c>
      <c r="B10" s="86">
        <v>6.0</v>
      </c>
      <c r="C10" s="86"/>
      <c r="D10" s="217" t="str">
        <f t="array" ref="D10">IFERROR(INDEX('計測入力シート（ここのみ編集可）'!$B$17:$B$116,MATCH($A10&amp;$B10,'計測入力シート（ここのみ編集可）'!$BM$17:$BM$116,0)),"")</f>
        <v>B</v>
      </c>
      <c r="E10" s="212" t="str">
        <f t="array" ref="E10">IFERROR(INDEX('計測入力シート（ここのみ編集可）'!$D$17:$D$116,MATCH($A10&amp;$B10,'計測入力シート（ここのみ編集可）'!$BM$17:$BM$116,0)),"")</f>
        <v>てくきか</v>
      </c>
      <c r="F10" s="212" t="str">
        <f t="array" ref="F10">IFERROR(INDEX('計測入力シート（ここのみ編集可）'!$E$17:$E$116,MATCH($A10&amp;$B10,'計測入力シート（ここのみ編集可）'!$BM$17:$BM$116,0)),"")</f>
        <v>ZX-4R</v>
      </c>
      <c r="G10" s="213" t="str">
        <f t="array" ref="G10">IFERROR(INDEX('計測入力シート（ここのみ編集可）'!$AW$17:$AW$116,MATCH($A10&amp;$B10,'計測入力シート（ここのみ編集可）'!$BM$17:$BM$116,0)),"")</f>
        <v>1:44:701</v>
      </c>
      <c r="H10" s="212" t="str">
        <f t="array" ref="H10">IFERROR(INDEX('計測入力シート（ここのみ編集可）'!$AY$17:$AY$116,MATCH($A10&amp;$B10,'計測入力シート（ここのみ編集可）'!$BM$17:$BM$116,0)),"")</f>
        <v>-</v>
      </c>
      <c r="I10" s="214" t="str">
        <f t="array" ref="I10">IFERROR(INDEX('計測入力シート（ここのみ編集可）'!$AZ$17:$AZ$116,MATCH($A10&amp;$B10,'計測入力シート（ここのみ編集可）'!$BM$17:$BM$116,0)),"")</f>
        <v>1:44:742</v>
      </c>
      <c r="J10" s="212" t="str">
        <f t="array" ref="J10">IFERROR(INDEX('計測入力シート（ここのみ編集可）'!$BB$17:$BB$116,MATCH($A10&amp;$B10,'計測入力シート（ここのみ編集可）'!$BM$17:$BM$116,0)),"")</f>
        <v>-</v>
      </c>
      <c r="K10" s="214" t="str">
        <f t="array" ref="K10">IFERROR(INDEX('計測入力シート（ここのみ編集可）'!$BC$17:$BC$116,MATCH($A10&amp;$B10,'計測入力シート（ここのみ編集可）'!$BM$17:$BM$116,0)),"")</f>
        <v>1:44:701</v>
      </c>
      <c r="L10" s="215">
        <f t="array" ref="L10">IFERROR(INDEX('計測入力シート（ここのみ編集可）'!$BD$17:$BD$116,MATCH($A10&amp;$B10,'計測入力シート（ここのみ編集可）'!$BM$17:$BM$116,0)),"")</f>
        <v>1.072690203</v>
      </c>
      <c r="M10" s="215">
        <f t="array" ref="M10">IFERROR(INDEX('計測入力シート（ここのみ編集可）'!$BE$17:$BE$116,MATCH($A10&amp;$B10,'計測入力シート（ここのみ編集可）'!$BM$17:$BM$116,0)),"")</f>
        <v>1.072690203</v>
      </c>
      <c r="N10" s="214">
        <f t="array" ref="N10">IFERROR(INDEX('計測入力シート（ここのみ編集可）'!$BN$17:$BN$116,MATCH($A10&amp;$B10,'計測入力シート（ここのみ編集可）'!$BM$17:$BM$116,0)),"")</f>
        <v>3</v>
      </c>
      <c r="O10" s="214" t="str">
        <f t="array" ref="O10">IFERROR(INDEX('計測入力シート（ここのみ編集可）'!$BP$17:$BP$116,MATCH($A10&amp;$B10,'計測入力シート（ここのみ編集可）'!$BM$17:$BM$116,0)),"")</f>
        <v>-</v>
      </c>
      <c r="P10" s="214" t="str">
        <f t="array" ref="P10">IFERROR(INDEX('計測入力シート（ここのみ編集可）'!$BR$17:$BR$116,MATCH($A10&amp;$B10,'計測入力シート（ここのみ編集可）'!$BM$17:$BM$116,0)),"")</f>
        <v>-</v>
      </c>
      <c r="Q10" s="216">
        <f t="array" ref="Q10">IFERROR(INDEX('計測入力シート（ここのみ編集可）'!$BL$17:$BL$116,MATCH($A10&amp;$B10,'計測入力シート（ここのみ編集可）'!$BM$17:$BM$116,0)),"")</f>
        <v>8</v>
      </c>
    </row>
    <row r="11" ht="22.5" customHeight="1">
      <c r="A11" s="86" t="s">
        <v>85</v>
      </c>
      <c r="B11" s="86">
        <v>7.0</v>
      </c>
      <c r="C11" s="86"/>
      <c r="D11" s="217" t="str">
        <f t="array" ref="D11">IFERROR(INDEX('計測入力シート（ここのみ編集可）'!$B$17:$B$116,MATCH($A11&amp;$B11,'計測入力シート（ここのみ編集可）'!$BM$17:$BM$116,0)),"")</f>
        <v>B</v>
      </c>
      <c r="E11" s="212" t="str">
        <f t="array" ref="E11">IFERROR(INDEX('計測入力シート（ここのみ編集可）'!$D$17:$D$116,MATCH($A11&amp;$B11,'計測入力シート（ここのみ編集可）'!$BM$17:$BM$116,0)),"")</f>
        <v>P</v>
      </c>
      <c r="F11" s="212" t="str">
        <f t="array" ref="F11">IFERROR(INDEX('計測入力シート（ここのみ編集可）'!$E$17:$E$116,MATCH($A11&amp;$B11,'計測入力シート（ここのみ編集可）'!$BM$17:$BM$116,0)),"")</f>
        <v>XSR155</v>
      </c>
      <c r="G11" s="213" t="str">
        <f t="array" ref="G11">IFERROR(INDEX('計測入力シート（ここのみ編集可）'!$AW$17:$AW$116,MATCH($A11&amp;$B11,'計測入力シート（ここのみ編集可）'!$BM$17:$BM$116,0)),"")</f>
        <v>1:54:612</v>
      </c>
      <c r="H11" s="212" t="str">
        <f t="array" ref="H11">IFERROR(INDEX('計測入力シート（ここのみ編集可）'!$AY$17:$AY$116,MATCH($A11&amp;$B11,'計測入力シート（ここのみ編集可）'!$BM$17:$BM$116,0)),"")</f>
        <v>-</v>
      </c>
      <c r="I11" s="214" t="str">
        <f t="array" ref="I11">IFERROR(INDEX('計測入力シート（ここのみ編集可）'!$AZ$17:$AZ$116,MATCH($A11&amp;$B11,'計測入力シート（ここのみ編集可）'!$BM$17:$BM$116,0)),"")</f>
        <v>1:54:509</v>
      </c>
      <c r="J11" s="212">
        <f t="array" ref="J11">IFERROR(INDEX('計測入力シート（ここのみ編集可）'!$BB$17:$BB$116,MATCH($A11&amp;$B11,'計測入力シート（ここのみ編集可）'!$BM$17:$BM$116,0)),"")</f>
        <v>2</v>
      </c>
      <c r="K11" s="214" t="str">
        <f t="array" ref="K11">IFERROR(INDEX('計測入力シート（ここのみ編集可）'!$BC$17:$BC$116,MATCH($A11&amp;$B11,'計測入力シート（ここのみ編集可）'!$BM$17:$BM$116,0)),"")</f>
        <v>1:54:612</v>
      </c>
      <c r="L11" s="215">
        <f t="array" ref="L11">IFERROR(INDEX('計測入力シート（ここのみ編集可）'!$BD$17:$BD$116,MATCH($A11&amp;$B11,'計測入力シート（ここのみ編集可）'!$BM$17:$BM$116,0)),"")</f>
        <v>1.174231092</v>
      </c>
      <c r="M11" s="215">
        <f t="array" ref="M11">IFERROR(INDEX('計測入力シート（ここのみ編集可）'!$BE$17:$BE$116,MATCH($A11&amp;$B11,'計測入力シート（ここのみ編集可）'!$BM$17:$BM$116,0)),"")</f>
        <v>1.174231092</v>
      </c>
      <c r="N11" s="214">
        <f t="array" ref="N11">IFERROR(INDEX('計測入力シート（ここのみ編集可）'!$BN$17:$BN$116,MATCH($A11&amp;$B11,'計測入力シート（ここのみ編集可）'!$BM$17:$BM$116,0)),"")</f>
        <v>4</v>
      </c>
      <c r="O11" s="214" t="str">
        <f t="array" ref="O11">IFERROR(INDEX('計測入力シート（ここのみ編集可）'!$BP$17:$BP$116,MATCH($A11&amp;$B11,'計測入力シート（ここのみ編集可）'!$BM$17:$BM$116,0)),"")</f>
        <v>-</v>
      </c>
      <c r="P11" s="214" t="str">
        <f t="array" ref="P11">IFERROR(INDEX('計測入力シート（ここのみ編集可）'!$BR$17:$BR$116,MATCH($A11&amp;$B11,'計測入力シート（ここのみ編集可）'!$BM$17:$BM$116,0)),"")</f>
        <v>-</v>
      </c>
      <c r="Q11" s="216">
        <f t="array" ref="Q11">IFERROR(INDEX('計測入力シート（ここのみ編集可）'!$BL$17:$BL$116,MATCH($A11&amp;$B11,'計測入力シート（ここのみ編集可）'!$BM$17:$BM$116,0)),"")</f>
        <v>31</v>
      </c>
    </row>
    <row r="12" ht="22.5" customHeight="1">
      <c r="A12" s="86" t="s">
        <v>85</v>
      </c>
      <c r="B12" s="86">
        <v>8.0</v>
      </c>
      <c r="C12" s="86"/>
      <c r="D12" s="217" t="str">
        <f t="array" ref="D12">IFERROR(INDEX('計測入力シート（ここのみ編集可）'!$B$17:$B$116,MATCH($A12&amp;$B12,'計測入力シート（ここのみ編集可）'!$BM$17:$BM$116,0)),"")</f>
        <v>C1</v>
      </c>
      <c r="E12" s="212" t="str">
        <f t="array" ref="E12">IFERROR(INDEX('計測入力シート（ここのみ編集可）'!$D$17:$D$116,MATCH($A12&amp;$B12,'計測入力シート（ここのみ編集可）'!$BM$17:$BM$116,0)),"")</f>
        <v>TOKICO</v>
      </c>
      <c r="F12" s="212" t="str">
        <f t="array" ref="F12">IFERROR(INDEX('計測入力シート（ここのみ編集可）'!$E$17:$E$116,MATCH($A12&amp;$B12,'計測入力シート（ここのみ編集可）'!$BM$17:$BM$116,0)),"")</f>
        <v>GSX-R1000</v>
      </c>
      <c r="G12" s="213" t="str">
        <f t="array" ref="G12">IFERROR(INDEX('計測入力シート（ここのみ編集可）'!$AW$17:$AW$116,MATCH($A12&amp;$B12,'計測入力シート（ここのみ編集可）'!$BM$17:$BM$116,0)),"")</f>
        <v>1:51:173</v>
      </c>
      <c r="H12" s="212" t="str">
        <f t="array" ref="H12">IFERROR(INDEX('計測入力シート（ここのみ編集可）'!$AY$17:$AY$116,MATCH($A12&amp;$B12,'計測入力シート（ここのみ編集可）'!$BM$17:$BM$116,0)),"")</f>
        <v>-</v>
      </c>
      <c r="I12" s="214" t="str">
        <f t="array" ref="I12">IFERROR(INDEX('計測入力シート（ここのみ編集可）'!$AZ$17:$AZ$116,MATCH($A12&amp;$B12,'計測入力シート（ここのみ編集可）'!$BM$17:$BM$116,0)),"")</f>
        <v>1:42:366</v>
      </c>
      <c r="J12" s="212" t="str">
        <f t="array" ref="J12">IFERROR(INDEX('計測入力シート（ここのみ編集可）'!$BB$17:$BB$116,MATCH($A12&amp;$B12,'計測入力シート（ここのみ編集可）'!$BM$17:$BM$116,0)),"")</f>
        <v>-</v>
      </c>
      <c r="K12" s="214" t="str">
        <f t="array" ref="K12">IFERROR(INDEX('計測入力シート（ここのみ編集可）'!$BC$17:$BC$116,MATCH($A12&amp;$B12,'計測入力シート（ここのみ編集可）'!$BM$17:$BM$116,0)),"")</f>
        <v>1:42:366</v>
      </c>
      <c r="L12" s="215">
        <f t="array" ref="L12">IFERROR(INDEX('計測入力シート（ここのみ編集可）'!$BD$17:$BD$116,MATCH($A12&amp;$B12,'計測入力シート（ここのみ編集可）'!$BM$17:$BM$116,0)),"")</f>
        <v>1.048767494</v>
      </c>
      <c r="M12" s="215">
        <f t="array" ref="M12">IFERROR(INDEX('計測入力シート（ここのみ編集可）'!$BE$17:$BE$116,MATCH($A12&amp;$B12,'計測入力シート（ここのみ編集可）'!$BM$17:$BM$116,0)),"")</f>
        <v>1.048767494</v>
      </c>
      <c r="N12" s="214">
        <f t="array" ref="N12">IFERROR(INDEX('計測入力シート（ここのみ編集可）'!$BN$17:$BN$116,MATCH($A12&amp;$B12,'計測入力シート（ここのみ編集可）'!$BM$17:$BM$116,0)),"")</f>
        <v>1</v>
      </c>
      <c r="O12" s="214" t="str">
        <f t="array" ref="O12">IFERROR(INDEX('計測入力シート（ここのみ編集可）'!$BP$17:$BP$116,MATCH($A12&amp;$B12,'計測入力シート（ここのみ編集可）'!$BM$17:$BM$116,0)),"")</f>
        <v>-</v>
      </c>
      <c r="P12" s="214" t="str">
        <f t="array" ref="P12">IFERROR(INDEX('計測入力シート（ここのみ編集可）'!$BR$17:$BR$116,MATCH($A12&amp;$B12,'計測入力シート（ここのみ編集可）'!$BM$17:$BM$116,0)),"")</f>
        <v>-</v>
      </c>
      <c r="Q12" s="216">
        <f t="array" ref="Q12">IFERROR(INDEX('計測入力シート（ここのみ編集可）'!$BL$17:$BL$116,MATCH($A12&amp;$B12,'計測入力シート（ここのみ編集可）'!$BM$17:$BM$116,0)),"")</f>
        <v>5</v>
      </c>
    </row>
    <row r="13" ht="22.5" customHeight="1">
      <c r="A13" s="86" t="s">
        <v>85</v>
      </c>
      <c r="B13" s="86">
        <v>9.0</v>
      </c>
      <c r="C13" s="86"/>
      <c r="D13" s="217" t="str">
        <f t="array" ref="D13">IFERROR(INDEX('計測入力シート（ここのみ編集可）'!$B$17:$B$116,MATCH($A13&amp;$B13,'計測入力シート（ここのみ編集可）'!$BM$17:$BM$116,0)),"")</f>
        <v>C1</v>
      </c>
      <c r="E13" s="212" t="str">
        <f t="array" ref="E13">IFERROR(INDEX('計測入力シート（ここのみ編集可）'!$D$17:$D$116,MATCH($A13&amp;$B13,'計測入力シート（ここのみ編集可）'!$BM$17:$BM$116,0)),"")</f>
        <v>しょこら。</v>
      </c>
      <c r="F13" s="212" t="str">
        <f t="array" ref="F13">IFERROR(INDEX('計測入力シート（ここのみ編集可）'!$E$17:$E$116,MATCH($A13&amp;$B13,'計測入力シート（ここのみ編集可）'!$BM$17:$BM$116,0)),"")</f>
        <v>GSX-R600</v>
      </c>
      <c r="G13" s="213" t="str">
        <f t="array" ref="G13">IFERROR(INDEX('計測入力シート（ここのみ編集可）'!$AW$17:$AW$116,MATCH($A13&amp;$B13,'計測入力シート（ここのみ編集可）'!$BM$17:$BM$116,0)),"")</f>
        <v>1:44:866</v>
      </c>
      <c r="H13" s="212">
        <f t="array" ref="H13">IFERROR(INDEX('計測入力シート（ここのみ編集可）'!$AY$17:$AY$116,MATCH($A13&amp;$B13,'計測入力シート（ここのみ編集可）'!$BM$17:$BM$116,0)),"")</f>
        <v>1</v>
      </c>
      <c r="I13" s="214" t="str">
        <f t="array" ref="I13">IFERROR(INDEX('計測入力シート（ここのみ編集可）'!$AZ$17:$AZ$116,MATCH($A13&amp;$B13,'計測入力シート（ここのみ編集可）'!$BM$17:$BM$116,0)),"")</f>
        <v>1:44:224</v>
      </c>
      <c r="J13" s="212" t="str">
        <f t="array" ref="J13">IFERROR(INDEX('計測入力シート（ここのみ編集可）'!$BB$17:$BB$116,MATCH($A13&amp;$B13,'計測入力シート（ここのみ編集可）'!$BM$17:$BM$116,0)),"")</f>
        <v>-</v>
      </c>
      <c r="K13" s="214" t="str">
        <f t="array" ref="K13">IFERROR(INDEX('計測入力シート（ここのみ編集可）'!$BC$17:$BC$116,MATCH($A13&amp;$B13,'計測入力シート（ここのみ編集可）'!$BM$17:$BM$116,0)),"")</f>
        <v>1:44:224</v>
      </c>
      <c r="L13" s="215">
        <f t="array" ref="L13">IFERROR(INDEX('計測入力シート（ここのみ編集可）'!$BD$17:$BD$116,MATCH($A13&amp;$B13,'計測入力シート（ここのみ編集可）'!$BM$17:$BM$116,0)),"")</f>
        <v>1.067803209</v>
      </c>
      <c r="M13" s="215">
        <f t="array" ref="M13">IFERROR(INDEX('計測入力シート（ここのみ編集可）'!$BE$17:$BE$116,MATCH($A13&amp;$B13,'計測入力シート（ここのみ編集可）'!$BM$17:$BM$116,0)),"")</f>
        <v>1.067803209</v>
      </c>
      <c r="N13" s="214">
        <f t="array" ref="N13">IFERROR(INDEX('計測入力シート（ここのみ編集可）'!$BN$17:$BN$116,MATCH($A13&amp;$B13,'計測入力シート（ここのみ編集可）'!$BM$17:$BM$116,0)),"")</f>
        <v>2</v>
      </c>
      <c r="O13" s="214" t="str">
        <f t="array" ref="O13">IFERROR(INDEX('計測入力シート（ここのみ編集可）'!$BP$17:$BP$116,MATCH($A13&amp;$B13,'計測入力シート（ここのみ編集可）'!$BM$17:$BM$116,0)),"")</f>
        <v>-</v>
      </c>
      <c r="P13" s="214" t="str">
        <f t="array" ref="P13">IFERROR(INDEX('計測入力シート（ここのみ編集可）'!$BR$17:$BR$116,MATCH($A13&amp;$B13,'計測入力シート（ここのみ編集可）'!$BM$17:$BM$116,0)),"")</f>
        <v>-</v>
      </c>
      <c r="Q13" s="216">
        <f t="array" ref="Q13">IFERROR(INDEX('計測入力シート（ここのみ編集可）'!$BL$17:$BL$116,MATCH($A13&amp;$B13,'計測入力シート（ここのみ編集可）'!$BM$17:$BM$116,0)),"")</f>
        <v>7</v>
      </c>
    </row>
    <row r="14" ht="22.5" customHeight="1">
      <c r="A14" s="86" t="s">
        <v>85</v>
      </c>
      <c r="B14" s="86">
        <v>10.0</v>
      </c>
      <c r="C14" s="86"/>
      <c r="D14" s="217" t="str">
        <f t="array" ref="D14">IFERROR(INDEX('計測入力シート（ここのみ編集可）'!$B$17:$B$116,MATCH($A14&amp;$B14,'計測入力シート（ここのみ編集可）'!$BM$17:$BM$116,0)),"")</f>
        <v>C1</v>
      </c>
      <c r="E14" s="212" t="str">
        <f t="array" ref="E14">IFERROR(INDEX('計測入力シート（ここのみ編集可）'!$D$17:$D$116,MATCH($A14&amp;$B14,'計測入力シート（ここのみ編集可）'!$BM$17:$BM$116,0)),"")</f>
        <v>角</v>
      </c>
      <c r="F14" s="212" t="str">
        <f t="array" ref="F14">IFERROR(INDEX('計測入力シート（ここのみ編集可）'!$E$17:$E$116,MATCH($A14&amp;$B14,'計測入力シート（ここのみ編集可）'!$BM$17:$BM$116,0)),"")</f>
        <v>SV650</v>
      </c>
      <c r="G14" s="213" t="str">
        <f t="array" ref="G14">IFERROR(INDEX('計測入力シート（ここのみ編集可）'!$AW$17:$AW$116,MATCH($A14&amp;$B14,'計測入力シート（ここのみ編集可）'!$BM$17:$BM$116,0)),"")</f>
        <v>1:43:467</v>
      </c>
      <c r="H14" s="212">
        <f t="array" ref="H14">IFERROR(INDEX('計測入力シート（ここのみ編集可）'!$AY$17:$AY$116,MATCH($A14&amp;$B14,'計測入力シート（ここのみ編集可）'!$BM$17:$BM$116,0)),"")</f>
        <v>2</v>
      </c>
      <c r="I14" s="214" t="str">
        <f t="array" ref="I14">IFERROR(INDEX('計測入力シート（ここのみ編集可）'!$AZ$17:$AZ$116,MATCH($A14&amp;$B14,'計測入力シート（ここのみ編集可）'!$BM$17:$BM$116,0)),"")</f>
        <v>1:44:448</v>
      </c>
      <c r="J14" s="212">
        <f t="array" ref="J14">IFERROR(INDEX('計測入力シート（ここのみ編集可）'!$BB$17:$BB$116,MATCH($A14&amp;$B14,'計測入力シート（ここのみ編集可）'!$BM$17:$BM$116,0)),"")</f>
        <v>1</v>
      </c>
      <c r="K14" s="214" t="str">
        <f t="array" ref="K14">IFERROR(INDEX('計測入力シート（ここのみ編集可）'!$BC$17:$BC$116,MATCH($A14&amp;$B14,'計測入力シート（ここのみ編集可）'!$BM$17:$BM$116,0)),"")</f>
        <v>1:45:448</v>
      </c>
      <c r="L14" s="215">
        <f t="array" ref="L14">IFERROR(INDEX('計測入力シート（ここのみ編集可）'!$BD$17:$BD$116,MATCH($A14&amp;$B14,'計測入力シート（ここのみ編集可）'!$BM$17:$BM$116,0)),"")</f>
        <v>1.080343422</v>
      </c>
      <c r="M14" s="215">
        <f t="array" ref="M14">IFERROR(INDEX('計測入力シート（ここのみ編集可）'!$BE$17:$BE$116,MATCH($A14&amp;$B14,'計測入力シート（ここのみ編集可）'!$BM$17:$BM$116,0)),"")</f>
        <v>1.080343422</v>
      </c>
      <c r="N14" s="214">
        <f t="array" ref="N14">IFERROR(INDEX('計測入力シート（ここのみ編集可）'!$BN$17:$BN$116,MATCH($A14&amp;$B14,'計測入力シート（ここのみ編集可）'!$BM$17:$BM$116,0)),"")</f>
        <v>3</v>
      </c>
      <c r="O14" s="214" t="str">
        <f t="array" ref="O14">IFERROR(INDEX('計測入力シート（ここのみ編集可）'!$BP$17:$BP$116,MATCH($A14&amp;$B14,'計測入力シート（ここのみ編集可）'!$BM$17:$BM$116,0)),"")</f>
        <v>-</v>
      </c>
      <c r="P14" s="214" t="str">
        <f t="array" ref="P14">IFERROR(INDEX('計測入力シート（ここのみ編集可）'!$BR$17:$BR$116,MATCH($A14&amp;$B14,'計測入力シート（ここのみ編集可）'!$BM$17:$BM$116,0)),"")</f>
        <v>-</v>
      </c>
      <c r="Q14" s="216">
        <f t="array" ref="Q14">IFERROR(INDEX('計測入力シート（ここのみ編集可）'!$BL$17:$BL$116,MATCH($A14&amp;$B14,'計測入力シート（ここのみ編集可）'!$BM$17:$BM$116,0)),"")</f>
        <v>9</v>
      </c>
    </row>
    <row r="15" ht="22.5" customHeight="1">
      <c r="A15" s="86" t="s">
        <v>85</v>
      </c>
      <c r="B15" s="86">
        <v>11.0</v>
      </c>
      <c r="C15" s="86"/>
      <c r="D15" s="217" t="str">
        <f t="array" ref="D15">IFERROR(INDEX('計測入力シート（ここのみ編集可）'!$B$17:$B$116,MATCH($A15&amp;$B15,'計測入力シート（ここのみ編集可）'!$BM$17:$BM$116,0)),"")</f>
        <v>C1</v>
      </c>
      <c r="E15" s="212" t="str">
        <f t="array" ref="E15">IFERROR(INDEX('計測入力シート（ここのみ編集可）'!$D$17:$D$116,MATCH($A15&amp;$B15,'計測入力シート（ここのみ編集可）'!$BM$17:$BM$116,0)),"")</f>
        <v>たけし</v>
      </c>
      <c r="F15" s="212" t="str">
        <f t="array" ref="F15">IFERROR(INDEX('計測入力シート（ここのみ編集可）'!$E$17:$E$116,MATCH($A15&amp;$B15,'計測入力シート（ここのみ編集可）'!$BM$17:$BM$116,0)),"")</f>
        <v>YZ250</v>
      </c>
      <c r="G15" s="213" t="str">
        <f t="array" ref="G15">IFERROR(INDEX('計測入力シート（ここのみ編集可）'!$AW$17:$AW$116,MATCH($A15&amp;$B15,'計測入力シート（ここのみ編集可）'!$BM$17:$BM$116,0)),"")</f>
        <v>1:45:500</v>
      </c>
      <c r="H15" s="212" t="str">
        <f t="array" ref="H15">IFERROR(INDEX('計測入力シート（ここのみ編集可）'!$AY$17:$AY$116,MATCH($A15&amp;$B15,'計測入力シート（ここのみ編集可）'!$BM$17:$BM$116,0)),"")</f>
        <v>-</v>
      </c>
      <c r="I15" s="214" t="str">
        <f t="array" ref="I15">IFERROR(INDEX('計測入力シート（ここのみ編集可）'!$AZ$17:$AZ$116,MATCH($A15&amp;$B15,'計測入力シート（ここのみ編集可）'!$BM$17:$BM$116,0)),"")</f>
        <v>9:99:999</v>
      </c>
      <c r="J15" s="212" t="str">
        <f t="array" ref="J15">IFERROR(INDEX('計測入力シート（ここのみ編集可）'!$BB$17:$BB$116,MATCH($A15&amp;$B15,'計測入力シート（ここのみ編集可）'!$BM$17:$BM$116,0)),"")</f>
        <v>MC</v>
      </c>
      <c r="K15" s="214" t="str">
        <f t="array" ref="K15">IFERROR(INDEX('計測入力シート（ここのみ編集可）'!$BC$17:$BC$116,MATCH($A15&amp;$B15,'計測入力シート（ここのみ編集可）'!$BM$17:$BM$116,0)),"")</f>
        <v>1:45:500</v>
      </c>
      <c r="L15" s="215">
        <f t="array" ref="L15">IFERROR(INDEX('計測入力シート（ここのみ編集可）'!$BD$17:$BD$116,MATCH($A15&amp;$B15,'計測入力シート（ここのみ編集可）'!$BM$17:$BM$116,0)),"")</f>
        <v>1.080876176</v>
      </c>
      <c r="M15" s="215">
        <f t="array" ref="M15">IFERROR(INDEX('計測入力シート（ここのみ編集可）'!$BE$17:$BE$116,MATCH($A15&amp;$B15,'計測入力シート（ここのみ編集可）'!$BM$17:$BM$116,0)),"")</f>
        <v>1.080876176</v>
      </c>
      <c r="N15" s="214">
        <f t="array" ref="N15">IFERROR(INDEX('計測入力シート（ここのみ編集可）'!$BN$17:$BN$116,MATCH($A15&amp;$B15,'計測入力シート（ここのみ編集可）'!$BM$17:$BM$116,0)),"")</f>
        <v>4</v>
      </c>
      <c r="O15" s="214" t="str">
        <f t="array" ref="O15">IFERROR(INDEX('計測入力シート（ここのみ編集可）'!$BP$17:$BP$116,MATCH($A15&amp;$B15,'計測入力シート（ここのみ編集可）'!$BM$17:$BM$116,0)),"")</f>
        <v>-</v>
      </c>
      <c r="P15" s="214" t="str">
        <f t="array" ref="P15">IFERROR(INDEX('計測入力シート（ここのみ編集可）'!$BR$17:$BR$116,MATCH($A15&amp;$B15,'計測入力シート（ここのみ編集可）'!$BM$17:$BM$116,0)),"")</f>
        <v>-</v>
      </c>
      <c r="Q15" s="216">
        <f t="array" ref="Q15">IFERROR(INDEX('計測入力シート（ここのみ編集可）'!$BL$17:$BL$116,MATCH($A15&amp;$B15,'計測入力シート（ここのみ編集可）'!$BM$17:$BM$116,0)),"")</f>
        <v>10</v>
      </c>
    </row>
    <row r="16" ht="22.5" customHeight="1">
      <c r="A16" s="86" t="s">
        <v>85</v>
      </c>
      <c r="B16" s="86">
        <v>12.0</v>
      </c>
      <c r="C16" s="86"/>
      <c r="D16" s="217" t="str">
        <f t="array" ref="D16">IFERROR(INDEX('計測入力シート（ここのみ編集可）'!$B$17:$B$116,MATCH($A16&amp;$B16,'計測入力シート（ここのみ編集可）'!$BM$17:$BM$116,0)),"")</f>
        <v>C1</v>
      </c>
      <c r="E16" s="212" t="str">
        <f t="array" ref="E16">IFERROR(INDEX('計測入力シート（ここのみ編集可）'!$D$17:$D$116,MATCH($A16&amp;$B16,'計測入力シート（ここのみ編集可）'!$BM$17:$BM$116,0)),"")</f>
        <v>まろ</v>
      </c>
      <c r="F16" s="212" t="str">
        <f t="array" ref="F16">IFERROR(INDEX('計測入力シート（ここのみ編集可）'!$E$17:$E$116,MATCH($A16&amp;$B16,'計測入力シート（ここのみ編集可）'!$BM$17:$BM$116,0)),"")</f>
        <v>MSX125改</v>
      </c>
      <c r="G16" s="213" t="str">
        <f t="array" ref="G16">IFERROR(INDEX('計測入力シート（ここのみ編集可）'!$AW$17:$AW$116,MATCH($A16&amp;$B16,'計測入力シート（ここのみ編集可）'!$BM$17:$BM$116,0)),"")</f>
        <v>1:46:217</v>
      </c>
      <c r="H16" s="212" t="str">
        <f t="array" ref="H16">IFERROR(INDEX('計測入力シート（ここのみ編集可）'!$AY$17:$AY$116,MATCH($A16&amp;$B16,'計測入力シート（ここのみ編集可）'!$BM$17:$BM$116,0)),"")</f>
        <v>-</v>
      </c>
      <c r="I16" s="214" t="str">
        <f t="array" ref="I16">IFERROR(INDEX('計測入力シート（ここのみ編集可）'!$AZ$17:$AZ$116,MATCH($A16&amp;$B16,'計測入力シート（ここのみ編集可）'!$BM$17:$BM$116,0)),"")</f>
        <v>1:46:801</v>
      </c>
      <c r="J16" s="212" t="str">
        <f t="array" ref="J16">IFERROR(INDEX('計測入力シート（ここのみ編集可）'!$BB$17:$BB$116,MATCH($A16&amp;$B16,'計測入力シート（ここのみ編集可）'!$BM$17:$BM$116,0)),"")</f>
        <v>-</v>
      </c>
      <c r="K16" s="214" t="str">
        <f t="array" ref="K16">IFERROR(INDEX('計測入力シート（ここのみ編集可）'!$BC$17:$BC$116,MATCH($A16&amp;$B16,'計測入力シート（ここのみ編集可）'!$BM$17:$BM$116,0)),"")</f>
        <v>1:46:217</v>
      </c>
      <c r="L16" s="215">
        <f t="array" ref="L16">IFERROR(INDEX('計測入力シート（ここのみ編集可）'!$BD$17:$BD$116,MATCH($A16&amp;$B16,'計測入力シート（ここのみ編集可）'!$BM$17:$BM$116,0)),"")</f>
        <v>1.088222036</v>
      </c>
      <c r="M16" s="215">
        <f t="array" ref="M16">IFERROR(INDEX('計測入力シート（ここのみ編集可）'!$BE$17:$BE$116,MATCH($A16&amp;$B16,'計測入力シート（ここのみ編集可）'!$BM$17:$BM$116,0)),"")</f>
        <v>1.088222036</v>
      </c>
      <c r="N16" s="214">
        <f t="array" ref="N16">IFERROR(INDEX('計測入力シート（ここのみ編集可）'!$BN$17:$BN$116,MATCH($A16&amp;$B16,'計測入力シート（ここのみ編集可）'!$BM$17:$BM$116,0)),"")</f>
        <v>5</v>
      </c>
      <c r="O16" s="214" t="str">
        <f t="array" ref="O16">IFERROR(INDEX('計測入力シート（ここのみ編集可）'!$BP$17:$BP$116,MATCH($A16&amp;$B16,'計測入力シート（ここのみ編集可）'!$BM$17:$BM$116,0)),"")</f>
        <v>-</v>
      </c>
      <c r="P16" s="214" t="str">
        <f t="array" ref="P16">IFERROR(INDEX('計測入力シート（ここのみ編集可）'!$BR$17:$BR$116,MATCH($A16&amp;$B16,'計測入力シート（ここのみ編集可）'!$BM$17:$BM$116,0)),"")</f>
        <v>-</v>
      </c>
      <c r="Q16" s="216">
        <f t="array" ref="Q16">IFERROR(INDEX('計測入力シート（ここのみ編集可）'!$BL$17:$BL$116,MATCH($A16&amp;$B16,'計測入力シート（ここのみ編集可）'!$BM$17:$BM$116,0)),"")</f>
        <v>11</v>
      </c>
    </row>
    <row r="17" ht="22.5" customHeight="1">
      <c r="A17" s="86" t="s">
        <v>85</v>
      </c>
      <c r="B17" s="86">
        <v>13.0</v>
      </c>
      <c r="C17" s="86"/>
      <c r="D17" s="217" t="str">
        <f t="array" ref="D17">IFERROR(INDEX('計測入力シート（ここのみ編集可）'!$B$17:$B$116,MATCH($A17&amp;$B17,'計測入力シート（ここのみ編集可）'!$BM$17:$BM$116,0)),"")</f>
        <v>C1</v>
      </c>
      <c r="E17" s="212" t="str">
        <f t="array" ref="E17">IFERROR(INDEX('計測入力シート（ここのみ編集可）'!$D$17:$D$116,MATCH($A17&amp;$B17,'計測入力シート（ここのみ編集可）'!$BM$17:$BM$116,0)),"")</f>
        <v>岡さーもん</v>
      </c>
      <c r="F17" s="212" t="str">
        <f t="array" ref="F17">IFERROR(INDEX('計測入力シート（ここのみ編集可）'!$E$17:$E$116,MATCH($A17&amp;$B17,'計測入力シート（ここのみ編集可）'!$BM$17:$BM$116,0)),"")</f>
        <v>CBR600RR</v>
      </c>
      <c r="G17" s="213" t="str">
        <f t="array" ref="G17">IFERROR(INDEX('計測入力シート（ここのみ編集可）'!$AW$17:$AW$116,MATCH($A17&amp;$B17,'計測入力シート（ここのみ編集可）'!$BM$17:$BM$116,0)),"")</f>
        <v>9:99:999</v>
      </c>
      <c r="H17" s="212" t="str">
        <f t="array" ref="H17">IFERROR(INDEX('計測入力シート（ここのみ編集可）'!$AY$17:$AY$116,MATCH($A17&amp;$B17,'計測入力シート（ここのみ編集可）'!$BM$17:$BM$116,0)),"")</f>
        <v>MC</v>
      </c>
      <c r="I17" s="214" t="str">
        <f t="array" ref="I17">IFERROR(INDEX('計測入力シート（ここのみ編集可）'!$AZ$17:$AZ$116,MATCH($A17&amp;$B17,'計測入力シート（ここのみ編集可）'!$BM$17:$BM$116,0)),"")</f>
        <v>1:49:711</v>
      </c>
      <c r="J17" s="212" t="str">
        <f t="array" ref="J17">IFERROR(INDEX('計測入力シート（ここのみ編集可）'!$BB$17:$BB$116,MATCH($A17&amp;$B17,'計測入力シート（ここのみ編集可）'!$BM$17:$BM$116,0)),"")</f>
        <v>-</v>
      </c>
      <c r="K17" s="214" t="str">
        <f t="array" ref="K17">IFERROR(INDEX('計測入力シート（ここのみ編集可）'!$BC$17:$BC$116,MATCH($A17&amp;$B17,'計測入力シート（ここのみ編集可）'!$BM$17:$BM$116,0)),"")</f>
        <v>1:49:711</v>
      </c>
      <c r="L17" s="215">
        <f t="array" ref="L17">IFERROR(INDEX('計測入力シート（ここのみ編集可）'!$BD$17:$BD$116,MATCH($A17&amp;$B17,'計測入力シート（ここのみ編集可）'!$BM$17:$BM$116,0)),"")</f>
        <v>1.124019015</v>
      </c>
      <c r="M17" s="215">
        <f t="array" ref="M17">IFERROR(INDEX('計測入力シート（ここのみ編集可）'!$BE$17:$BE$116,MATCH($A17&amp;$B17,'計測入力シート（ここのみ編集可）'!$BM$17:$BM$116,0)),"")</f>
        <v>1.124019015</v>
      </c>
      <c r="N17" s="214">
        <f t="array" ref="N17">IFERROR(INDEX('計測入力シート（ここのみ編集可）'!$BN$17:$BN$116,MATCH($A17&amp;$B17,'計測入力シート（ここのみ編集可）'!$BM$17:$BM$116,0)),"")</f>
        <v>6</v>
      </c>
      <c r="O17" s="214" t="str">
        <f t="array" ref="O17">IFERROR(INDEX('計測入力シート（ここのみ編集可）'!$BP$17:$BP$116,MATCH($A17&amp;$B17,'計測入力シート（ここのみ編集可）'!$BM$17:$BM$116,0)),"")</f>
        <v>-</v>
      </c>
      <c r="P17" s="214" t="str">
        <f t="array" ref="P17">IFERROR(INDEX('計測入力シート（ここのみ編集可）'!$BR$17:$BR$116,MATCH($A17&amp;$B17,'計測入力シート（ここのみ編集可）'!$BM$17:$BM$116,0)),"")</f>
        <v>-</v>
      </c>
      <c r="Q17" s="216">
        <f t="array" ref="Q17">IFERROR(INDEX('計測入力シート（ここのみ編集可）'!$BL$17:$BL$116,MATCH($A17&amp;$B17,'計測入力シート（ここのみ編集可）'!$BM$17:$BM$116,0)),"")</f>
        <v>19</v>
      </c>
    </row>
    <row r="18" ht="22.5" customHeight="1">
      <c r="A18" s="86" t="s">
        <v>85</v>
      </c>
      <c r="B18" s="86">
        <v>14.0</v>
      </c>
      <c r="C18" s="86"/>
      <c r="D18" s="217" t="str">
        <f t="array" ref="D18">IFERROR(INDEX('計測入力シート（ここのみ編集可）'!$B$17:$B$116,MATCH($A18&amp;$B18,'計測入力シート（ここのみ編集可）'!$BM$17:$BM$116,0)),"")</f>
        <v>C1</v>
      </c>
      <c r="E18" s="212" t="str">
        <f t="array" ref="E18">IFERROR(INDEX('計測入力シート（ここのみ編集可）'!$D$17:$D$116,MATCH($A18&amp;$B18,'計測入力シート（ここのみ編集可）'!$BM$17:$BM$116,0)),"")</f>
        <v>とこ山とこ夫</v>
      </c>
      <c r="F18" s="212" t="str">
        <f t="array" ref="F18">IFERROR(INDEX('計測入力シート（ここのみ編集可）'!$E$17:$E$116,MATCH($A18&amp;$B18,'計測入力シート（ここのみ編集可）'!$BM$17:$BM$116,0)),"")</f>
        <v>Z400</v>
      </c>
      <c r="G18" s="213" t="str">
        <f t="array" ref="G18">IFERROR(INDEX('計測入力シート（ここのみ編集可）'!$AW$17:$AW$116,MATCH($A18&amp;$B18,'計測入力シート（ここのみ編集可）'!$BM$17:$BM$116,0)),"")</f>
        <v>1:50:384</v>
      </c>
      <c r="H18" s="212" t="str">
        <f t="array" ref="H18">IFERROR(INDEX('計測入力シート（ここのみ編集可）'!$AY$17:$AY$116,MATCH($A18&amp;$B18,'計測入力シート（ここのみ編集可）'!$BM$17:$BM$116,0)),"")</f>
        <v>-</v>
      </c>
      <c r="I18" s="214" t="str">
        <f t="array" ref="I18">IFERROR(INDEX('計測入力シート（ここのみ編集可）'!$AZ$17:$AZ$116,MATCH($A18&amp;$B18,'計測入力シート（ここのみ編集可）'!$BM$17:$BM$116,0)),"")</f>
        <v>2:29:539</v>
      </c>
      <c r="J18" s="212" t="str">
        <f t="array" ref="J18">IFERROR(INDEX('計測入力シート（ここのみ編集可）'!$BB$17:$BB$116,MATCH($A18&amp;$B18,'計測入力シート（ここのみ編集可）'!$BM$17:$BM$116,0)),"")</f>
        <v>-</v>
      </c>
      <c r="K18" s="214" t="str">
        <f t="array" ref="K18">IFERROR(INDEX('計測入力シート（ここのみ編集可）'!$BC$17:$BC$116,MATCH($A18&amp;$B18,'計測入力シート（ここのみ編集可）'!$BM$17:$BM$116,0)),"")</f>
        <v>1:50:384</v>
      </c>
      <c r="L18" s="215">
        <f t="array" ref="L18">IFERROR(INDEX('計測入力シート（ここのみ編集可）'!$BD$17:$BD$116,MATCH($A18&amp;$B18,'計測入力シート（ここのみ編集可）'!$BM$17:$BM$116,0)),"")</f>
        <v>1.130914083</v>
      </c>
      <c r="M18" s="215">
        <f t="array" ref="M18">IFERROR(INDEX('計測入力シート（ここのみ編集可）'!$BE$17:$BE$116,MATCH($A18&amp;$B18,'計測入力シート（ここのみ編集可）'!$BM$17:$BM$116,0)),"")</f>
        <v>1.130914083</v>
      </c>
      <c r="N18" s="214">
        <f t="array" ref="N18">IFERROR(INDEX('計測入力シート（ここのみ編集可）'!$BN$17:$BN$116,MATCH($A18&amp;$B18,'計測入力シート（ここのみ編集可）'!$BM$17:$BM$116,0)),"")</f>
        <v>7</v>
      </c>
      <c r="O18" s="214" t="str">
        <f t="array" ref="O18">IFERROR(INDEX('計測入力シート（ここのみ編集可）'!$BP$17:$BP$116,MATCH($A18&amp;$B18,'計測入力シート（ここのみ編集可）'!$BM$17:$BM$116,0)),"")</f>
        <v>-</v>
      </c>
      <c r="P18" s="214" t="str">
        <f t="array" ref="P18">IFERROR(INDEX('計測入力シート（ここのみ編集可）'!$BR$17:$BR$116,MATCH($A18&amp;$B18,'計測入力シート（ここのみ編集可）'!$BM$17:$BM$116,0)),"")</f>
        <v>-</v>
      </c>
      <c r="Q18" s="216">
        <f t="array" ref="Q18">IFERROR(INDEX('計測入力シート（ここのみ編集可）'!$BL$17:$BL$116,MATCH($A18&amp;$B18,'計測入力シート（ここのみ編集可）'!$BM$17:$BM$116,0)),"")</f>
        <v>20</v>
      </c>
    </row>
    <row r="19" ht="22.5" customHeight="1">
      <c r="A19" s="86" t="s">
        <v>85</v>
      </c>
      <c r="B19" s="86">
        <v>15.0</v>
      </c>
      <c r="C19" s="86"/>
      <c r="D19" s="217" t="str">
        <f t="array" ref="D19">IFERROR(INDEX('計測入力シート（ここのみ編集可）'!$B$17:$B$116,MATCH($A19&amp;$B19,'計測入力シート（ここのみ編集可）'!$BM$17:$BM$116,0)),"")</f>
        <v>C1</v>
      </c>
      <c r="E19" s="212" t="str">
        <f t="array" ref="E19">IFERROR(INDEX('計測入力シート（ここのみ編集可）'!$D$17:$D$116,MATCH($A19&amp;$B19,'計測入力シート（ここのみ編集可）'!$BM$17:$BM$116,0)),"")</f>
        <v>組長</v>
      </c>
      <c r="F19" s="212" t="str">
        <f t="array" ref="F19">IFERROR(INDEX('計測入力シート（ここのみ編集可）'!$E$17:$E$116,MATCH($A19&amp;$B19,'計測入力シート（ここのみ編集可）'!$BM$17:$BM$116,0)),"")</f>
        <v>GSX-R1000</v>
      </c>
      <c r="G19" s="213" t="str">
        <f t="array" ref="G19">IFERROR(INDEX('計測入力シート（ここのみ編集可）'!$AW$17:$AW$116,MATCH($A19&amp;$B19,'計測入力シート（ここのみ編集可）'!$BM$17:$BM$116,0)),"")</f>
        <v>2:08:005</v>
      </c>
      <c r="H19" s="212" t="str">
        <f t="array" ref="H19">IFERROR(INDEX('計測入力シート（ここのみ編集可）'!$AY$17:$AY$116,MATCH($A19&amp;$B19,'計測入力シート（ここのみ編集可）'!$BM$17:$BM$116,0)),"")</f>
        <v>-</v>
      </c>
      <c r="I19" s="214" t="str">
        <f t="array" ref="I19">IFERROR(INDEX('計測入力シート（ここのみ編集可）'!$AZ$17:$AZ$116,MATCH($A19&amp;$B19,'計測入力シート（ここのみ編集可）'!$BM$17:$BM$116,0)),"")</f>
        <v>2:00:926</v>
      </c>
      <c r="J19" s="212" t="str">
        <f t="array" ref="J19">IFERROR(INDEX('計測入力シート（ここのみ編集可）'!$BB$17:$BB$116,MATCH($A19&amp;$B19,'計測入力シート（ここのみ編集可）'!$BM$17:$BM$116,0)),"")</f>
        <v>-</v>
      </c>
      <c r="K19" s="214" t="str">
        <f t="array" ref="K19">IFERROR(INDEX('計測入力シート（ここのみ編集可）'!$BC$17:$BC$116,MATCH($A19&amp;$B19,'計測入力シート（ここのみ編集可）'!$BM$17:$BM$116,0)),"")</f>
        <v>2:00:926</v>
      </c>
      <c r="L19" s="215">
        <f t="array" ref="L19">IFERROR(INDEX('計測入力シート（ここのみ編集可）'!$BD$17:$BD$116,MATCH($A19&amp;$B19,'計測入力シート（ここのみ編集可）'!$BM$17:$BM$116,0)),"")</f>
        <v>1.238919739</v>
      </c>
      <c r="M19" s="215">
        <f t="array" ref="M19">IFERROR(INDEX('計測入力シート（ここのみ編集可）'!$BE$17:$BE$116,MATCH($A19&amp;$B19,'計測入力シート（ここのみ編集可）'!$BM$17:$BM$116,0)),"")</f>
        <v>1.238919739</v>
      </c>
      <c r="N19" s="214">
        <f t="array" ref="N19">IFERROR(INDEX('計測入力シート（ここのみ編集可）'!$BN$17:$BN$116,MATCH($A19&amp;$B19,'計測入力シート（ここのみ編集可）'!$BM$17:$BM$116,0)),"")</f>
        <v>8</v>
      </c>
      <c r="O19" s="214" t="str">
        <f t="array" ref="O19">IFERROR(INDEX('計測入力シート（ここのみ編集可）'!$BP$17:$BP$116,MATCH($A19&amp;$B19,'計測入力シート（ここのみ編集可）'!$BM$17:$BM$116,0)),"")</f>
        <v>-</v>
      </c>
      <c r="P19" s="214" t="str">
        <f t="array" ref="P19">IFERROR(INDEX('計測入力シート（ここのみ編集可）'!$BR$17:$BR$116,MATCH($A19&amp;$B19,'計測入力シート（ここのみ編集可）'!$BM$17:$BM$116,0)),"")</f>
        <v>-</v>
      </c>
      <c r="Q19" s="216">
        <f t="array" ref="Q19">IFERROR(INDEX('計測入力シート（ここのみ編集可）'!$BL$17:$BL$116,MATCH($A19&amp;$B19,'計測入力シート（ここのみ編集可）'!$BM$17:$BM$116,0)),"")</f>
        <v>41</v>
      </c>
    </row>
    <row r="20" ht="22.5" customHeight="1">
      <c r="A20" s="86" t="s">
        <v>85</v>
      </c>
      <c r="B20" s="86">
        <v>16.0</v>
      </c>
      <c r="C20" s="86"/>
      <c r="D20" s="217" t="str">
        <f t="array" ref="D20">IFERROR(INDEX('計測入力シート（ここのみ編集可）'!$B$17:$B$116,MATCH($A20&amp;$B20,'計測入力シート（ここのみ編集可）'!$BM$17:$BM$116,0)),"")</f>
        <v>C1</v>
      </c>
      <c r="E20" s="212" t="str">
        <f t="array" ref="E20">IFERROR(INDEX('計測入力シート（ここのみ編集可）'!$D$17:$D$116,MATCH($A20&amp;$B20,'計測入力シート（ここのみ編集可）'!$BM$17:$BM$116,0)),"")</f>
        <v>もんじろう</v>
      </c>
      <c r="F20" s="212" t="str">
        <f t="array" ref="F20">IFERROR(INDEX('計測入力シート（ここのみ編集可）'!$E$17:$E$116,MATCH($A20&amp;$B20,'計測入力シート（ここのみ編集可）'!$BM$17:$BM$116,0)),"")</f>
        <v>WR450F</v>
      </c>
      <c r="G20" s="213" t="str">
        <f t="array" ref="G20">IFERROR(INDEX('計測入力シート（ここのみ編集可）'!$AW$17:$AW$116,MATCH($A20&amp;$B20,'計測入力シート（ここのみ編集可）'!$BM$17:$BM$116,0)),"")</f>
        <v>DNS</v>
      </c>
      <c r="H20" s="212" t="str">
        <f t="array" ref="H20">IFERROR(INDEX('計測入力シート（ここのみ編集可）'!$AY$17:$AY$116,MATCH($A20&amp;$B20,'計測入力シート（ここのみ編集可）'!$BM$17:$BM$116,0)),"")</f>
        <v>-</v>
      </c>
      <c r="I20" s="214" t="str">
        <f t="array" ref="I20">IFERROR(INDEX('計測入力シート（ここのみ編集可）'!$AZ$17:$AZ$116,MATCH($A20&amp;$B20,'計測入力シート（ここのみ編集可）'!$BM$17:$BM$116,0)),"")</f>
        <v>DNS</v>
      </c>
      <c r="J20" s="212" t="str">
        <f t="array" ref="J20">IFERROR(INDEX('計測入力シート（ここのみ編集可）'!$BB$17:$BB$116,MATCH($A20&amp;$B20,'計測入力シート（ここのみ編集可）'!$BM$17:$BM$116,0)),"")</f>
        <v>-</v>
      </c>
      <c r="K20" s="214" t="str">
        <f t="array" ref="K20">IFERROR(INDEX('計測入力シート（ここのみ編集可）'!$BC$17:$BC$116,MATCH($A20&amp;$B20,'計測入力シート（ここのみ編集可）'!$BM$17:$BM$116,0)),"")</f>
        <v>DNS</v>
      </c>
      <c r="L20" s="215" t="str">
        <f t="array" ref="L20">IFERROR(INDEX('計測入力シート（ここのみ編集可）'!$BD$17:$BD$116,MATCH($A20&amp;$B20,'計測入力シート（ここのみ編集可）'!$BM$17:$BM$116,0)),"")</f>
        <v>-</v>
      </c>
      <c r="M20" s="215" t="str">
        <f t="array" ref="M20">IFERROR(INDEX('計測入力シート（ここのみ編集可）'!$BE$17:$BE$116,MATCH($A20&amp;$B20,'計測入力シート（ここのみ編集可）'!$BM$17:$BM$116,0)),"")</f>
        <v>-</v>
      </c>
      <c r="N20" s="214" t="str">
        <f t="array" ref="N20">IFERROR(INDEX('計測入力シート（ここのみ編集可）'!$BN$17:$BN$116,MATCH($A20&amp;$B20,'計測入力シート（ここのみ編集可）'!$BM$17:$BM$116,0)),"")</f>
        <v>-</v>
      </c>
      <c r="O20" s="214" t="str">
        <f t="array" ref="O20">IFERROR(INDEX('計測入力シート（ここのみ編集可）'!$BP$17:$BP$116,MATCH($A20&amp;$B20,'計測入力シート（ここのみ編集可）'!$BM$17:$BM$116,0)),"")</f>
        <v>-</v>
      </c>
      <c r="P20" s="214" t="str">
        <f t="array" ref="P20">IFERROR(INDEX('計測入力シート（ここのみ編集可）'!$BR$17:$BR$116,MATCH($A20&amp;$B20,'計測入力シート（ここのみ編集可）'!$BM$17:$BM$116,0)),"")</f>
        <v>-</v>
      </c>
      <c r="Q20" s="216" t="str">
        <f t="array" ref="Q20">IFERROR(INDEX('計測入力シート（ここのみ編集可）'!$BL$17:$BL$116,MATCH($A20&amp;$B20,'計測入力シート（ここのみ編集可）'!$BM$17:$BM$116,0)),"")</f>
        <v>-</v>
      </c>
    </row>
    <row r="21" ht="22.5" customHeight="1">
      <c r="A21" s="86" t="s">
        <v>85</v>
      </c>
      <c r="B21" s="86">
        <v>17.0</v>
      </c>
      <c r="C21" s="86"/>
      <c r="D21" s="217" t="str">
        <f t="array" ref="D21">IFERROR(INDEX('計測入力シート（ここのみ編集可）'!$B$17:$B$116,MATCH($A21&amp;$B21,'計測入力シート（ここのみ編集可）'!$BM$17:$BM$116,0)),"")</f>
        <v>C1</v>
      </c>
      <c r="E21" s="212" t="str">
        <f t="array" ref="E21">IFERROR(INDEX('計測入力シート（ここのみ編集可）'!$D$17:$D$116,MATCH($A21&amp;$B21,'計測入力シート（ここのみ編集可）'!$BM$17:$BM$116,0)),"")</f>
        <v>kota</v>
      </c>
      <c r="F21" s="212" t="str">
        <f t="array" ref="F21">IFERROR(INDEX('計測入力シート（ここのみ編集可）'!$E$17:$E$116,MATCH($A21&amp;$B21,'計測入力シート（ここのみ編集可）'!$BM$17:$BM$116,0)),"")</f>
        <v>GROM</v>
      </c>
      <c r="G21" s="213" t="str">
        <f t="array" ref="G21">IFERROR(INDEX('計測入力シート（ここのみ編集可）'!$AW$17:$AW$116,MATCH($A21&amp;$B21,'計測入力シート（ここのみ編集可）'!$BM$17:$BM$116,0)),"")</f>
        <v>DNS</v>
      </c>
      <c r="H21" s="212" t="str">
        <f t="array" ref="H21">IFERROR(INDEX('計測入力シート（ここのみ編集可）'!$AY$17:$AY$116,MATCH($A21&amp;$B21,'計測入力シート（ここのみ編集可）'!$BM$17:$BM$116,0)),"")</f>
        <v>-</v>
      </c>
      <c r="I21" s="214" t="str">
        <f t="array" ref="I21">IFERROR(INDEX('計測入力シート（ここのみ編集可）'!$AZ$17:$AZ$116,MATCH($A21&amp;$B21,'計測入力シート（ここのみ編集可）'!$BM$17:$BM$116,0)),"")</f>
        <v>DNS</v>
      </c>
      <c r="J21" s="212" t="str">
        <f t="array" ref="J21">IFERROR(INDEX('計測入力シート（ここのみ編集可）'!$BB$17:$BB$116,MATCH($A21&amp;$B21,'計測入力シート（ここのみ編集可）'!$BM$17:$BM$116,0)),"")</f>
        <v>-</v>
      </c>
      <c r="K21" s="214" t="str">
        <f t="array" ref="K21">IFERROR(INDEX('計測入力シート（ここのみ編集可）'!$BC$17:$BC$116,MATCH($A21&amp;$B21,'計測入力シート（ここのみ編集可）'!$BM$17:$BM$116,0)),"")</f>
        <v>DNS</v>
      </c>
      <c r="L21" s="215" t="str">
        <f t="array" ref="L21">IFERROR(INDEX('計測入力シート（ここのみ編集可）'!$BD$17:$BD$116,MATCH($A21&amp;$B21,'計測入力シート（ここのみ編集可）'!$BM$17:$BM$116,0)),"")</f>
        <v>-</v>
      </c>
      <c r="M21" s="215" t="str">
        <f t="array" ref="M21">IFERROR(INDEX('計測入力シート（ここのみ編集可）'!$BE$17:$BE$116,MATCH($A21&amp;$B21,'計測入力シート（ここのみ編集可）'!$BM$17:$BM$116,0)),"")</f>
        <v>-</v>
      </c>
      <c r="N21" s="214" t="str">
        <f t="array" ref="N21">IFERROR(INDEX('計測入力シート（ここのみ編集可）'!$BN$17:$BN$116,MATCH($A21&amp;$B21,'計測入力シート（ここのみ編集可）'!$BM$17:$BM$116,0)),"")</f>
        <v>-</v>
      </c>
      <c r="O21" s="214" t="str">
        <f t="array" ref="O21">IFERROR(INDEX('計測入力シート（ここのみ編集可）'!$BP$17:$BP$116,MATCH($A21&amp;$B21,'計測入力シート（ここのみ編集可）'!$BM$17:$BM$116,0)),"")</f>
        <v>-</v>
      </c>
      <c r="P21" s="214" t="str">
        <f t="array" ref="P21">IFERROR(INDEX('計測入力シート（ここのみ編集可）'!$BR$17:$BR$116,MATCH($A21&amp;$B21,'計測入力シート（ここのみ編集可）'!$BM$17:$BM$116,0)),"")</f>
        <v>-</v>
      </c>
      <c r="Q21" s="216" t="str">
        <f t="array" ref="Q21">IFERROR(INDEX('計測入力シート（ここのみ編集可）'!$BL$17:$BL$116,MATCH($A21&amp;$B21,'計測入力シート（ここのみ編集可）'!$BM$17:$BM$116,0)),"")</f>
        <v>-</v>
      </c>
    </row>
    <row r="22" ht="22.5" customHeight="1">
      <c r="A22" s="86" t="s">
        <v>85</v>
      </c>
      <c r="B22" s="86">
        <v>18.0</v>
      </c>
      <c r="C22" s="86"/>
      <c r="D22" s="217" t="str">
        <f t="array" ref="D22">IFERROR(INDEX('計測入力シート（ここのみ編集可）'!$B$17:$B$116,MATCH($A22&amp;$B22,'計測入力シート（ここのみ編集可）'!$BM$17:$BM$116,0)),"")</f>
        <v>C2</v>
      </c>
      <c r="E22" s="212" t="str">
        <f t="array" ref="E22">IFERROR(INDEX('計測入力シート（ここのみ編集可）'!$D$17:$D$116,MATCH($A22&amp;$B22,'計測入力シート（ここのみ編集可）'!$BM$17:$BM$116,0)),"")</f>
        <v>かねなしんちゃん</v>
      </c>
      <c r="F22" s="212" t="str">
        <f t="array" ref="F22">IFERROR(INDEX('計測入力シート（ここのみ編集可）'!$E$17:$E$116,MATCH($A22&amp;$B22,'計測入力シート（ここのみ編集可）'!$BM$17:$BM$116,0)),"")</f>
        <v>NINJA400</v>
      </c>
      <c r="G22" s="213" t="str">
        <f t="array" ref="G22">IFERROR(INDEX('計測入力シート（ここのみ編集可）'!$AW$17:$AW$116,MATCH($A22&amp;$B22,'計測入力シート（ここのみ編集可）'!$BM$17:$BM$116,0)),"")</f>
        <v>1:41:725</v>
      </c>
      <c r="H22" s="212" t="str">
        <f t="array" ref="H22">IFERROR(INDEX('計測入力シート（ここのみ編集可）'!$AY$17:$AY$116,MATCH($A22&amp;$B22,'計測入力シート（ここのみ編集可）'!$BM$17:$BM$116,0)),"")</f>
        <v>-</v>
      </c>
      <c r="I22" s="214" t="str">
        <f t="array" ref="I22">IFERROR(INDEX('計測入力シート（ここのみ編集可）'!$AZ$17:$AZ$116,MATCH($A22&amp;$B22,'計測入力シート（ここのみ編集可）'!$BM$17:$BM$116,0)),"")</f>
        <v>1:41:475</v>
      </c>
      <c r="J22" s="212" t="str">
        <f t="array" ref="J22">IFERROR(INDEX('計測入力シート（ここのみ編集可）'!$BB$17:$BB$116,MATCH($A22&amp;$B22,'計測入力シート（ここのみ編集可）'!$BM$17:$BM$116,0)),"")</f>
        <v>-</v>
      </c>
      <c r="K22" s="214" t="str">
        <f t="array" ref="K22">IFERROR(INDEX('計測入力シート（ここのみ編集可）'!$BC$17:$BC$116,MATCH($A22&amp;$B22,'計測入力シート（ここのみ編集可）'!$BM$17:$BM$116,0)),"")</f>
        <v>1:41:475</v>
      </c>
      <c r="L22" s="215">
        <f t="array" ref="L22">IFERROR(INDEX('計測入力シート（ここのみ編集可）'!$BD$17:$BD$116,MATCH($A22&amp;$B22,'計測入力シート（ここのみ編集可）'!$BM$17:$BM$116,0)),"")</f>
        <v>1.039638957</v>
      </c>
      <c r="M22" s="215">
        <f t="array" ref="M22">IFERROR(INDEX('計測入力シート（ここのみ編集可）'!$BE$17:$BE$116,MATCH($A22&amp;$B22,'計測入力シート（ここのみ編集可）'!$BM$17:$BM$116,0)),"")</f>
        <v>1.039638957</v>
      </c>
      <c r="N22" s="214">
        <f t="array" ref="N22">IFERROR(INDEX('計測入力シート（ここのみ編集可）'!$BN$17:$BN$116,MATCH($A22&amp;$B22,'計測入力シート（ここのみ編集可）'!$BM$17:$BM$116,0)),"")</f>
        <v>1</v>
      </c>
      <c r="O22" s="214" t="str">
        <f t="array" ref="O22">IFERROR(INDEX('計測入力シート（ここのみ編集可）'!$BP$17:$BP$116,MATCH($A22&amp;$B22,'計測入力シート（ここのみ編集可）'!$BM$17:$BM$116,0)),"")</f>
        <v>-</v>
      </c>
      <c r="P22" s="214" t="str">
        <f t="array" ref="P22">IFERROR(INDEX('計測入力シート（ここのみ編集可）'!$BR$17:$BR$116,MATCH($A22&amp;$B22,'計測入力シート（ここのみ編集可）'!$BM$17:$BM$116,0)),"")</f>
        <v>-</v>
      </c>
      <c r="Q22" s="216">
        <f t="array" ref="Q22">IFERROR(INDEX('計測入力シート（ここのみ編集可）'!$BL$17:$BL$116,MATCH($A22&amp;$B22,'計測入力シート（ここのみ編集可）'!$BM$17:$BM$116,0)),"")</f>
        <v>4</v>
      </c>
    </row>
    <row r="23" ht="22.5" customHeight="1">
      <c r="A23" s="86" t="s">
        <v>85</v>
      </c>
      <c r="B23" s="86">
        <v>19.0</v>
      </c>
      <c r="C23" s="86"/>
      <c r="D23" s="217" t="str">
        <f t="array" ref="D23">IFERROR(INDEX('計測入力シート（ここのみ編集可）'!$B$17:$B$116,MATCH($A23&amp;$B23,'計測入力シート（ここのみ編集可）'!$BM$17:$BM$116,0)),"")</f>
        <v>C2</v>
      </c>
      <c r="E23" s="212" t="str">
        <f t="array" ref="E23">IFERROR(INDEX('計測入力シート（ここのみ編集可）'!$D$17:$D$116,MATCH($A23&amp;$B23,'計測入力シート（ここのみ編集可）'!$BM$17:$BM$116,0)),"")</f>
        <v>TAM</v>
      </c>
      <c r="F23" s="212" t="str">
        <f t="array" ref="F23">IFERROR(INDEX('計測入力シート（ここのみ編集可）'!$E$17:$E$116,MATCH($A23&amp;$B23,'計測入力シート（ここのみ編集可）'!$BM$17:$BM$116,0)),"")</f>
        <v>GROM</v>
      </c>
      <c r="G23" s="213" t="str">
        <f t="array" ref="G23">IFERROR(INDEX('計測入力シート（ここのみ編集可）'!$AW$17:$AW$116,MATCH($A23&amp;$B23,'計測入力シート（ここのみ編集可）'!$BM$17:$BM$116,0)),"")</f>
        <v>1:57:197</v>
      </c>
      <c r="H23" s="212" t="str">
        <f t="array" ref="H23">IFERROR(INDEX('計測入力シート（ここのみ編集可）'!$AY$17:$AY$116,MATCH($A23&amp;$B23,'計測入力シート（ここのみ編集可）'!$BM$17:$BM$116,0)),"")</f>
        <v>-</v>
      </c>
      <c r="I23" s="214" t="str">
        <f t="array" ref="I23">IFERROR(INDEX('計測入力シート（ここのみ編集可）'!$AZ$17:$AZ$116,MATCH($A23&amp;$B23,'計測入力シート（ここのみ編集可）'!$BM$17:$BM$116,0)),"")</f>
        <v>1:46:979</v>
      </c>
      <c r="J23" s="212" t="str">
        <f t="array" ref="J23">IFERROR(INDEX('計測入力シート（ここのみ編集可）'!$BB$17:$BB$116,MATCH($A23&amp;$B23,'計測入力シート（ここのみ編集可）'!$BM$17:$BM$116,0)),"")</f>
        <v>-</v>
      </c>
      <c r="K23" s="214" t="str">
        <f t="array" ref="K23">IFERROR(INDEX('計測入力シート（ここのみ編集可）'!$BC$17:$BC$116,MATCH($A23&amp;$B23,'計測入力シート（ここのみ編集可）'!$BM$17:$BM$116,0)),"")</f>
        <v>1:46:979</v>
      </c>
      <c r="L23" s="215">
        <f t="array" ref="L23">IFERROR(INDEX('計測入力シート（ここのみ編集可）'!$BD$17:$BD$116,MATCH($A23&amp;$B23,'計測入力シート（ここのみ編集可）'!$BM$17:$BM$116,0)),"")</f>
        <v>1.096028933</v>
      </c>
      <c r="M23" s="215">
        <f t="array" ref="M23">IFERROR(INDEX('計測入力シート（ここのみ編集可）'!$BE$17:$BE$116,MATCH($A23&amp;$B23,'計測入力シート（ここのみ編集可）'!$BM$17:$BM$116,0)),"")</f>
        <v>1.096028933</v>
      </c>
      <c r="N23" s="214">
        <f t="array" ref="N23">IFERROR(INDEX('計測入力シート（ここのみ編集可）'!$BN$17:$BN$116,MATCH($A23&amp;$B23,'計測入力シート（ここのみ編集可）'!$BM$17:$BM$116,0)),"")</f>
        <v>2</v>
      </c>
      <c r="O23" s="214" t="str">
        <f t="array" ref="O23">IFERROR(INDEX('計測入力シート（ここのみ編集可）'!$BP$17:$BP$116,MATCH($A23&amp;$B23,'計測入力シート（ここのみ編集可）'!$BM$17:$BM$116,0)),"")</f>
        <v>-</v>
      </c>
      <c r="P23" s="214" t="str">
        <f t="array" ref="P23">IFERROR(INDEX('計測入力シート（ここのみ編集可）'!$BR$17:$BR$116,MATCH($A23&amp;$B23,'計測入力シート（ここのみ編集可）'!$BM$17:$BM$116,0)),"")</f>
        <v>-</v>
      </c>
      <c r="Q23" s="216">
        <f t="array" ref="Q23">IFERROR(INDEX('計測入力シート（ここのみ編集可）'!$BL$17:$BL$116,MATCH($A23&amp;$B23,'計測入力シート（ここのみ編集可）'!$BM$17:$BM$116,0)),"")</f>
        <v>12</v>
      </c>
    </row>
    <row r="24" ht="22.5" customHeight="1">
      <c r="A24" s="86" t="s">
        <v>85</v>
      </c>
      <c r="B24" s="86">
        <v>20.0</v>
      </c>
      <c r="C24" s="86"/>
      <c r="D24" s="217" t="str">
        <f t="array" ref="D24">IFERROR(INDEX('計測入力シート（ここのみ編集可）'!$B$17:$B$116,MATCH($A24&amp;$B24,'計測入力シート（ここのみ編集可）'!$BM$17:$BM$116,0)),"")</f>
        <v>C2</v>
      </c>
      <c r="E24" s="212" t="str">
        <f t="array" ref="E24">IFERROR(INDEX('計測入力シート（ここのみ編集可）'!$D$17:$D$116,MATCH($A24&amp;$B24,'計測入力シート（ここのみ編集可）'!$BM$17:$BM$116,0)),"")</f>
        <v>浅野智博</v>
      </c>
      <c r="F24" s="212" t="str">
        <f t="array" ref="F24">IFERROR(INDEX('計測入力シート（ここのみ編集可）'!$E$17:$E$116,MATCH($A24&amp;$B24,'計測入力シート（ここのみ編集可）'!$BM$17:$BM$116,0)),"")</f>
        <v>YZ250FX</v>
      </c>
      <c r="G24" s="213" t="str">
        <f t="array" ref="G24">IFERROR(INDEX('計測入力シート（ここのみ編集可）'!$AW$17:$AW$116,MATCH($A24&amp;$B24,'計測入力シート（ここのみ編集可）'!$BM$17:$BM$116,0)),"")</f>
        <v>9:99:999</v>
      </c>
      <c r="H24" s="212" t="str">
        <f t="array" ref="H24">IFERROR(INDEX('計測入力シート（ここのみ編集可）'!$AY$17:$AY$116,MATCH($A24&amp;$B24,'計測入力シート（ここのみ編集可）'!$BM$17:$BM$116,0)),"")</f>
        <v>MC</v>
      </c>
      <c r="I24" s="214" t="str">
        <f t="array" ref="I24">IFERROR(INDEX('計測入力シート（ここのみ編集可）'!$AZ$17:$AZ$116,MATCH($A24&amp;$B24,'計測入力シート（ここのみ編集可）'!$BM$17:$BM$116,0)),"")</f>
        <v>1:47:833</v>
      </c>
      <c r="J24" s="212" t="str">
        <f t="array" ref="J24">IFERROR(INDEX('計測入力シート（ここのみ編集可）'!$BB$17:$BB$116,MATCH($A24&amp;$B24,'計測入力シート（ここのみ編集可）'!$BM$17:$BM$116,0)),"")</f>
        <v>-</v>
      </c>
      <c r="K24" s="214" t="str">
        <f t="array" ref="K24">IFERROR(INDEX('計測入力シート（ここのみ編集可）'!$BC$17:$BC$116,MATCH($A24&amp;$B24,'計測入力シート（ここのみ編集可）'!$BM$17:$BM$116,0)),"")</f>
        <v>1:47:833</v>
      </c>
      <c r="L24" s="215">
        <f t="array" ref="L24">IFERROR(INDEX('計測入力シート（ここのみ編集可）'!$BD$17:$BD$116,MATCH($A24&amp;$B24,'計測入力シート（ここのみ編集可）'!$BM$17:$BM$116,0)),"")</f>
        <v>1.104778395</v>
      </c>
      <c r="M24" s="215">
        <f t="array" ref="M24">IFERROR(INDEX('計測入力シート（ここのみ編集可）'!$BE$17:$BE$116,MATCH($A24&amp;$B24,'計測入力シート（ここのみ編集可）'!$BM$17:$BM$116,0)),"")</f>
        <v>1.104778395</v>
      </c>
      <c r="N24" s="214">
        <f t="array" ref="N24">IFERROR(INDEX('計測入力シート（ここのみ編集可）'!$BN$17:$BN$116,MATCH($A24&amp;$B24,'計測入力シート（ここのみ編集可）'!$BM$17:$BM$116,0)),"")</f>
        <v>3</v>
      </c>
      <c r="O24" s="214" t="str">
        <f t="array" ref="O24">IFERROR(INDEX('計測入力シート（ここのみ編集可）'!$BP$17:$BP$116,MATCH($A24&amp;$B24,'計測入力シート（ここのみ編集可）'!$BM$17:$BM$116,0)),"")</f>
        <v>-</v>
      </c>
      <c r="P24" s="214" t="str">
        <f t="array" ref="P24">IFERROR(INDEX('計測入力シート（ここのみ編集可）'!$BR$17:$BR$116,MATCH($A24&amp;$B24,'計測入力シート（ここのみ編集可）'!$BM$17:$BM$116,0)),"")</f>
        <v>-</v>
      </c>
      <c r="Q24" s="216">
        <f t="array" ref="Q24">IFERROR(INDEX('計測入力シート（ここのみ編集可）'!$BL$17:$BL$116,MATCH($A24&amp;$B24,'計測入力シート（ここのみ編集可）'!$BM$17:$BM$116,0)),"")</f>
        <v>14</v>
      </c>
    </row>
    <row r="25" ht="22.5" customHeight="1">
      <c r="A25" s="86" t="s">
        <v>85</v>
      </c>
      <c r="B25" s="86">
        <v>21.0</v>
      </c>
      <c r="C25" s="86"/>
      <c r="D25" s="217" t="str">
        <f t="array" ref="D25">IFERROR(INDEX('計測入力シート（ここのみ編集可）'!$B$17:$B$116,MATCH($A25&amp;$B25,'計測入力シート（ここのみ編集可）'!$BM$17:$BM$116,0)),"")</f>
        <v>C2</v>
      </c>
      <c r="E25" s="212" t="str">
        <f t="array" ref="E25">IFERROR(INDEX('計測入力シート（ここのみ編集可）'!$D$17:$D$116,MATCH($A25&amp;$B25,'計測入力シート（ここのみ編集可）'!$BM$17:$BM$116,0)),"")</f>
        <v>ひろ</v>
      </c>
      <c r="F25" s="212" t="str">
        <f t="array" ref="F25">IFERROR(INDEX('計測入力シート（ここのみ編集可）'!$E$17:$E$116,MATCH($A25&amp;$B25,'計測入力シート（ここのみ編集可）'!$BM$17:$BM$116,0)),"")</f>
        <v>NSR250R</v>
      </c>
      <c r="G25" s="213" t="str">
        <f t="array" ref="G25">IFERROR(INDEX('計測入力シート（ここのみ編集可）'!$AW$17:$AW$116,MATCH($A25&amp;$B25,'計測入力シート（ここのみ編集可）'!$BM$17:$BM$116,0)),"")</f>
        <v>1:52:265</v>
      </c>
      <c r="H25" s="212" t="str">
        <f t="array" ref="H25">IFERROR(INDEX('計測入力シート（ここのみ編集可）'!$AY$17:$AY$116,MATCH($A25&amp;$B25,'計測入力シート（ここのみ編集可）'!$BM$17:$BM$116,0)),"")</f>
        <v>-</v>
      </c>
      <c r="I25" s="214" t="str">
        <f t="array" ref="I25">IFERROR(INDEX('計測入力シート（ここのみ編集可）'!$AZ$17:$AZ$116,MATCH($A25&amp;$B25,'計測入力シート（ここのみ編集可）'!$BM$17:$BM$116,0)),"")</f>
        <v>1:49:637</v>
      </c>
      <c r="J25" s="212" t="str">
        <f t="array" ref="J25">IFERROR(INDEX('計測入力シート（ここのみ編集可）'!$BB$17:$BB$116,MATCH($A25&amp;$B25,'計測入力シート（ここのみ編集可）'!$BM$17:$BM$116,0)),"")</f>
        <v>-</v>
      </c>
      <c r="K25" s="214" t="str">
        <f t="array" ref="K25">IFERROR(INDEX('計測入力シート（ここのみ編集可）'!$BC$17:$BC$116,MATCH($A25&amp;$B25,'計測入力シート（ここのみ編集可）'!$BM$17:$BM$116,0)),"")</f>
        <v>1:49:637</v>
      </c>
      <c r="L25" s="215">
        <f t="array" ref="L25">IFERROR(INDEX('計測入力シート（ここのみ編集可）'!$BD$17:$BD$116,MATCH($A25&amp;$B25,'計測入力シート（ここのみ編集可）'!$BM$17:$BM$116,0)),"")</f>
        <v>1.123260865</v>
      </c>
      <c r="M25" s="215">
        <f t="array" ref="M25">IFERROR(INDEX('計測入力シート（ここのみ編集可）'!$BE$17:$BE$116,MATCH($A25&amp;$B25,'計測入力シート（ここのみ編集可）'!$BM$17:$BM$116,0)),"")</f>
        <v>1.123260865</v>
      </c>
      <c r="N25" s="214">
        <f t="array" ref="N25">IFERROR(INDEX('計測入力シート（ここのみ編集可）'!$BN$17:$BN$116,MATCH($A25&amp;$B25,'計測入力シート（ここのみ編集可）'!$BM$17:$BM$116,0)),"")</f>
        <v>4</v>
      </c>
      <c r="O25" s="214" t="str">
        <f t="array" ref="O25">IFERROR(INDEX('計測入力シート（ここのみ編集可）'!$BP$17:$BP$116,MATCH($A25&amp;$B25,'計測入力シート（ここのみ編集可）'!$BM$17:$BM$116,0)),"")</f>
        <v>-</v>
      </c>
      <c r="P25" s="214" t="str">
        <f t="array" ref="P25">IFERROR(INDEX('計測入力シート（ここのみ編集可）'!$BR$17:$BR$116,MATCH($A25&amp;$B25,'計測入力シート（ここのみ編集可）'!$BM$17:$BM$116,0)),"")</f>
        <v>-</v>
      </c>
      <c r="Q25" s="216">
        <f t="array" ref="Q25">IFERROR(INDEX('計測入力シート（ここのみ編集可）'!$BL$17:$BL$116,MATCH($A25&amp;$B25,'計測入力シート（ここのみ編集可）'!$BM$17:$BM$116,0)),"")</f>
        <v>17</v>
      </c>
    </row>
    <row r="26" ht="22.5" customHeight="1">
      <c r="A26" s="86" t="s">
        <v>85</v>
      </c>
      <c r="B26" s="86">
        <v>22.0</v>
      </c>
      <c r="C26" s="86"/>
      <c r="D26" s="217" t="str">
        <f t="array" ref="D26">IFERROR(INDEX('計測入力シート（ここのみ編集可）'!$B$17:$B$116,MATCH($A26&amp;$B26,'計測入力シート（ここのみ編集可）'!$BM$17:$BM$116,0)),"")</f>
        <v>C2</v>
      </c>
      <c r="E26" s="212" t="str">
        <f t="array" ref="E26">IFERROR(INDEX('計測入力シート（ここのみ編集可）'!$D$17:$D$116,MATCH($A26&amp;$B26,'計測入力シート（ここのみ編集可）'!$BM$17:$BM$116,0)),"")</f>
        <v>モル</v>
      </c>
      <c r="F26" s="212" t="str">
        <f t="array" ref="F26">IFERROR(INDEX('計測入力シート（ここのみ編集可）'!$E$17:$E$116,MATCH($A26&amp;$B26,'計測入力シート（ここのみ編集可）'!$BM$17:$BM$116,0)),"")</f>
        <v>YZF-R25</v>
      </c>
      <c r="G26" s="213" t="str">
        <f t="array" ref="G26">IFERROR(INDEX('計測入力シート（ここのみ編集可）'!$AW$17:$AW$116,MATCH($A26&amp;$B26,'計測入力シート（ここのみ編集可）'!$BM$17:$BM$116,0)),"")</f>
        <v>1:50:068</v>
      </c>
      <c r="H26" s="212">
        <f t="array" ref="H26">IFERROR(INDEX('計測入力シート（ここのみ編集可）'!$AY$17:$AY$116,MATCH($A26&amp;$B26,'計測入力シート（ここのみ編集可）'!$BM$17:$BM$116,0)),"")</f>
        <v>2</v>
      </c>
      <c r="I26" s="214" t="str">
        <f t="array" ref="I26">IFERROR(INDEX('計測入力シート（ここのみ編集可）'!$AZ$17:$AZ$116,MATCH($A26&amp;$B26,'計測入力シート（ここのみ編集可）'!$BM$17:$BM$116,0)),"")</f>
        <v>1:49:678</v>
      </c>
      <c r="J26" s="212" t="str">
        <f t="array" ref="J26">IFERROR(INDEX('計測入力シート（ここのみ編集可）'!$BB$17:$BB$116,MATCH($A26&amp;$B26,'計測入力シート（ここのみ編集可）'!$BM$17:$BM$116,0)),"")</f>
        <v>-</v>
      </c>
      <c r="K26" s="214" t="str">
        <f t="array" ref="K26">IFERROR(INDEX('計測入力シート（ここのみ編集可）'!$BC$17:$BC$116,MATCH($A26&amp;$B26,'計測入力シート（ここのみ編集可）'!$BM$17:$BM$116,0)),"")</f>
        <v>1:49:678</v>
      </c>
      <c r="L26" s="215">
        <f t="array" ref="L26">IFERROR(INDEX('計測入力シート（ここのみ編集可）'!$BD$17:$BD$116,MATCH($A26&amp;$B26,'計測入力シート（ここのみ編集可）'!$BM$17:$BM$116,0)),"")</f>
        <v>1.123680921</v>
      </c>
      <c r="M26" s="215">
        <f t="array" ref="M26">IFERROR(INDEX('計測入力シート（ここのみ編集可）'!$BE$17:$BE$116,MATCH($A26&amp;$B26,'計測入力シート（ここのみ編集可）'!$BM$17:$BM$116,0)),"")</f>
        <v>1.123680921</v>
      </c>
      <c r="N26" s="214">
        <f t="array" ref="N26">IFERROR(INDEX('計測入力シート（ここのみ編集可）'!$BN$17:$BN$116,MATCH($A26&amp;$B26,'計測入力シート（ここのみ編集可）'!$BM$17:$BM$116,0)),"")</f>
        <v>5</v>
      </c>
      <c r="O26" s="214">
        <f t="array" ref="O26">IFERROR(INDEX('計測入力シート（ここのみ編集可）'!$BP$17:$BP$116,MATCH($A26&amp;$B26,'計測入力シート（ここのみ編集可）'!$BM$17:$BM$116,0)),"")</f>
        <v>2</v>
      </c>
      <c r="P26" s="214" t="str">
        <f t="array" ref="P26">IFERROR(INDEX('計測入力シート（ここのみ編集可）'!$BR$17:$BR$116,MATCH($A26&amp;$B26,'計測入力シート（ここのみ編集可）'!$BM$17:$BM$116,0)),"")</f>
        <v>-</v>
      </c>
      <c r="Q26" s="216">
        <f t="array" ref="Q26">IFERROR(INDEX('計測入力シート（ここのみ編集可）'!$BL$17:$BL$116,MATCH($A26&amp;$B26,'計測入力シート（ここのみ編集可）'!$BM$17:$BM$116,0)),"")</f>
        <v>18</v>
      </c>
    </row>
    <row r="27" ht="22.5" customHeight="1">
      <c r="A27" s="86" t="s">
        <v>85</v>
      </c>
      <c r="B27" s="86">
        <v>23.0</v>
      </c>
      <c r="C27" s="86"/>
      <c r="D27" s="217" t="str">
        <f t="array" ref="D27">IFERROR(INDEX('計測入力シート（ここのみ編集可）'!$B$17:$B$116,MATCH($A27&amp;$B27,'計測入力シート（ここのみ編集可）'!$BM$17:$BM$116,0)),"")</f>
        <v>C2</v>
      </c>
      <c r="E27" s="212" t="str">
        <f t="array" ref="E27">IFERROR(INDEX('計測入力シート（ここのみ編集可）'!$D$17:$D$116,MATCH($A27&amp;$B27,'計測入力シート（ここのみ編集可）'!$BM$17:$BM$116,0)),"")</f>
        <v>まる</v>
      </c>
      <c r="F27" s="212" t="str">
        <f t="array" ref="F27">IFERROR(INDEX('計測入力シート（ここのみ編集可）'!$E$17:$E$116,MATCH($A27&amp;$B27,'計測入力シート（ここのみ編集可）'!$BM$17:$BM$116,0)),"")</f>
        <v>VTR</v>
      </c>
      <c r="G27" s="213" t="str">
        <f t="array" ref="G27">IFERROR(INDEX('計測入力シート（ここのみ編集可）'!$AW$17:$AW$116,MATCH($A27&amp;$B27,'計測入力シート（ここのみ編集可）'!$BM$17:$BM$116,0)),"")</f>
        <v>1:58:134</v>
      </c>
      <c r="H27" s="212">
        <f t="array" ref="H27">IFERROR(INDEX('計測入力シート（ここのみ編集可）'!$AY$17:$AY$116,MATCH($A27&amp;$B27,'計測入力シート（ここのみ編集可）'!$BM$17:$BM$116,0)),"")</f>
        <v>1</v>
      </c>
      <c r="I27" s="214" t="str">
        <f t="array" ref="I27">IFERROR(INDEX('計測入力シート（ここのみ編集可）'!$AZ$17:$AZ$116,MATCH($A27&amp;$B27,'計測入力シート（ここのみ編集可）'!$BM$17:$BM$116,0)),"")</f>
        <v>1:51:148</v>
      </c>
      <c r="J27" s="212" t="str">
        <f t="array" ref="J27">IFERROR(INDEX('計測入力シート（ここのみ編集可）'!$BB$17:$BB$116,MATCH($A27&amp;$B27,'計測入力シート（ここのみ編集可）'!$BM$17:$BM$116,0)),"")</f>
        <v>-</v>
      </c>
      <c r="K27" s="214" t="str">
        <f t="array" ref="K27">IFERROR(INDEX('計測入力シート（ここのみ編集可）'!$BC$17:$BC$116,MATCH($A27&amp;$B27,'計測入力シート（ここのみ編集可）'!$BM$17:$BM$116,0)),"")</f>
        <v>1:51:148</v>
      </c>
      <c r="L27" s="215">
        <f t="array" ref="L27">IFERROR(INDEX('計測入力シート（ここのみ編集可）'!$BD$17:$BD$116,MATCH($A27&amp;$B27,'計測入力シート（ここのみ編集可）'!$BM$17:$BM$116,0)),"")</f>
        <v>1.138741471</v>
      </c>
      <c r="M27" s="215">
        <f t="array" ref="M27">IFERROR(INDEX('計測入力シート（ここのみ編集可）'!$BE$17:$BE$116,MATCH($A27&amp;$B27,'計測入力シート（ここのみ編集可）'!$BM$17:$BM$116,0)),"")</f>
        <v>1.138741471</v>
      </c>
      <c r="N27" s="214">
        <f t="array" ref="N27">IFERROR(INDEX('計測入力シート（ここのみ編集可）'!$BN$17:$BN$116,MATCH($A27&amp;$B27,'計測入力シート（ここのみ編集可）'!$BM$17:$BM$116,0)),"")</f>
        <v>6</v>
      </c>
      <c r="O27" s="214" t="str">
        <f t="array" ref="O27">IFERROR(INDEX('計測入力シート（ここのみ編集可）'!$BP$17:$BP$116,MATCH($A27&amp;$B27,'計測入力シート（ここのみ編集可）'!$BM$17:$BM$116,0)),"")</f>
        <v>-</v>
      </c>
      <c r="P27" s="214" t="str">
        <f t="array" ref="P27">IFERROR(INDEX('計測入力シート（ここのみ編集可）'!$BR$17:$BR$116,MATCH($A27&amp;$B27,'計測入力シート（ここのみ編集可）'!$BM$17:$BM$116,0)),"")</f>
        <v>-</v>
      </c>
      <c r="Q27" s="216">
        <f t="array" ref="Q27">IFERROR(INDEX('計測入力シート（ここのみ編集可）'!$BL$17:$BL$116,MATCH($A27&amp;$B27,'計測入力シート（ここのみ編集可）'!$BM$17:$BM$116,0)),"")</f>
        <v>23</v>
      </c>
    </row>
    <row r="28" ht="22.5" customHeight="1">
      <c r="A28" s="86" t="s">
        <v>85</v>
      </c>
      <c r="B28" s="86">
        <v>24.0</v>
      </c>
      <c r="C28" s="86"/>
      <c r="D28" s="217" t="str">
        <f t="array" ref="D28">IFERROR(INDEX('計測入力シート（ここのみ編集可）'!$B$17:$B$116,MATCH($A28&amp;$B28,'計測入力シート（ここのみ編集可）'!$BM$17:$BM$116,0)),"")</f>
        <v>C2</v>
      </c>
      <c r="E28" s="212" t="str">
        <f t="array" ref="E28">IFERROR(INDEX('計測入力シート（ここのみ編集可）'!$D$17:$D$116,MATCH($A28&amp;$B28,'計測入力シート（ここのみ編集可）'!$BM$17:$BM$116,0)),"")</f>
        <v>かおる</v>
      </c>
      <c r="F28" s="212" t="str">
        <f t="array" ref="F28">IFERROR(INDEX('計測入力シート（ここのみ編集可）'!$E$17:$E$116,MATCH($A28&amp;$B28,'計測入力シート（ここのみ編集可）'!$BM$17:$BM$116,0)),"")</f>
        <v>VTR250</v>
      </c>
      <c r="G28" s="213" t="str">
        <f t="array" ref="G28">IFERROR(INDEX('計測入力シート（ここのみ編集可）'!$AW$17:$AW$116,MATCH($A28&amp;$B28,'計測入力シート（ここのみ編集可）'!$BM$17:$BM$116,0)),"")</f>
        <v>1:53:626</v>
      </c>
      <c r="H28" s="212">
        <f t="array" ref="H28">IFERROR(INDEX('計測入力シート（ここのみ編集可）'!$AY$17:$AY$116,MATCH($A28&amp;$B28,'計測入力シート（ここのみ編集可）'!$BM$17:$BM$116,0)),"")</f>
        <v>1</v>
      </c>
      <c r="I28" s="214" t="str">
        <f t="array" ref="I28">IFERROR(INDEX('計測入力シート（ここのみ編集可）'!$AZ$17:$AZ$116,MATCH($A28&amp;$B28,'計測入力シート（ここのみ編集可）'!$BM$17:$BM$116,0)),"")</f>
        <v>1:52:407</v>
      </c>
      <c r="J28" s="212" t="str">
        <f t="array" ref="J28">IFERROR(INDEX('計測入力シート（ここのみ編集可）'!$BB$17:$BB$116,MATCH($A28&amp;$B28,'計測入力シート（ここのみ編集可）'!$BM$17:$BM$116,0)),"")</f>
        <v>-</v>
      </c>
      <c r="K28" s="214" t="str">
        <f t="array" ref="K28">IFERROR(INDEX('計測入力シート（ここのみ編集可）'!$BC$17:$BC$116,MATCH($A28&amp;$B28,'計測入力シート（ここのみ編集可）'!$BM$17:$BM$116,0)),"")</f>
        <v>1:52:407</v>
      </c>
      <c r="L28" s="215">
        <f t="array" ref="L28">IFERROR(INDEX('計測入力シート（ここのみ編集可）'!$BD$17:$BD$116,MATCH($A28&amp;$B28,'計測入力シート（ここのみ編集可）'!$BM$17:$BM$116,0)),"")</f>
        <v>1.151640268</v>
      </c>
      <c r="M28" s="215">
        <f t="array" ref="M28">IFERROR(INDEX('計測入力シート（ここのみ編集可）'!$BE$17:$BE$116,MATCH($A28&amp;$B28,'計測入力シート（ここのみ編集可）'!$BM$17:$BM$116,0)),"")</f>
        <v>1.151640268</v>
      </c>
      <c r="N28" s="214">
        <f t="array" ref="N28">IFERROR(INDEX('計測入力シート（ここのみ編集可）'!$BN$17:$BN$116,MATCH($A28&amp;$B28,'計測入力シート（ここのみ編集可）'!$BM$17:$BM$116,0)),"")</f>
        <v>7</v>
      </c>
      <c r="O28" s="214" t="str">
        <f t="array" ref="O28">IFERROR(INDEX('計測入力シート（ここのみ編集可）'!$BP$17:$BP$116,MATCH($A28&amp;$B28,'計測入力シート（ここのみ編集可）'!$BM$17:$BM$116,0)),"")</f>
        <v>-</v>
      </c>
      <c r="P28" s="214" t="str">
        <f t="array" ref="P28">IFERROR(INDEX('計測入力シート（ここのみ編集可）'!$BR$17:$BR$116,MATCH($A28&amp;$B28,'計測入力シート（ここのみ編集可）'!$BM$17:$BM$116,0)),"")</f>
        <v>-</v>
      </c>
      <c r="Q28" s="216">
        <f t="array" ref="Q28">IFERROR(INDEX('計測入力シート（ここのみ編集可）'!$BL$17:$BL$116,MATCH($A28&amp;$B28,'計測入力シート（ここのみ編集可）'!$BM$17:$BM$116,0)),"")</f>
        <v>25</v>
      </c>
    </row>
    <row r="29" ht="22.5" customHeight="1">
      <c r="A29" s="86" t="s">
        <v>85</v>
      </c>
      <c r="B29" s="86">
        <v>25.0</v>
      </c>
      <c r="C29" s="86"/>
      <c r="D29" s="217" t="str">
        <f t="array" ref="D29">IFERROR(INDEX('計測入力シート（ここのみ編集可）'!$B$17:$B$116,MATCH($A29&amp;$B29,'計測入力シート（ここのみ編集可）'!$BM$17:$BM$116,0)),"")</f>
        <v>C2</v>
      </c>
      <c r="E29" s="212" t="str">
        <f t="array" ref="E29">IFERROR(INDEX('計測入力シート（ここのみ編集可）'!$D$17:$D$116,MATCH($A29&amp;$B29,'計測入力シート（ここのみ編集可）'!$BM$17:$BM$116,0)),"")</f>
        <v>どーやP</v>
      </c>
      <c r="F29" s="212" t="str">
        <f t="array" ref="F29">IFERROR(INDEX('計測入力シート（ここのみ編集可）'!$E$17:$E$116,MATCH($A29&amp;$B29,'計測入力シート（ここのみ編集可）'!$BM$17:$BM$116,0)),"")</f>
        <v>Z400</v>
      </c>
      <c r="G29" s="213" t="str">
        <f t="array" ref="G29">IFERROR(INDEX('計測入力シート（ここのみ編集可）'!$AW$17:$AW$116,MATCH($A29&amp;$B29,'計測入力シート（ここのみ編集可）'!$BM$17:$BM$116,0)),"")</f>
        <v>2:02:742</v>
      </c>
      <c r="H29" s="212">
        <f t="array" ref="H29">IFERROR(INDEX('計測入力シート（ここのみ編集可）'!$AY$17:$AY$116,MATCH($A29&amp;$B29,'計測入力シート（ここのみ編集可）'!$BM$17:$BM$116,0)),"")</f>
        <v>1</v>
      </c>
      <c r="I29" s="214" t="str">
        <f t="array" ref="I29">IFERROR(INDEX('計測入力シート（ここのみ編集可）'!$AZ$17:$AZ$116,MATCH($A29&amp;$B29,'計測入力シート（ここのみ編集可）'!$BM$17:$BM$116,0)),"")</f>
        <v>1:52:470</v>
      </c>
      <c r="J29" s="212">
        <f t="array" ref="J29">IFERROR(INDEX('計測入力シート（ここのみ編集可）'!$BB$17:$BB$116,MATCH($A29&amp;$B29,'計測入力シート（ここのみ編集可）'!$BM$17:$BM$116,0)),"")</f>
        <v>1</v>
      </c>
      <c r="K29" s="214" t="str">
        <f t="array" ref="K29">IFERROR(INDEX('計測入力シート（ここのみ編集可）'!$BC$17:$BC$116,MATCH($A29&amp;$B29,'計測入力シート（ここのみ編集可）'!$BM$17:$BM$116,0)),"")</f>
        <v>1:53:470</v>
      </c>
      <c r="L29" s="215">
        <f t="array" ref="L29">IFERROR(INDEX('計測入力シート（ここのみ編集可）'!$BD$17:$BD$116,MATCH($A29&amp;$B29,'計測入力シート（ここのみ編集可）'!$BM$17:$BM$116,0)),"")</f>
        <v>1.162530992</v>
      </c>
      <c r="M29" s="215">
        <f t="array" ref="M29">IFERROR(INDEX('計測入力シート（ここのみ編集可）'!$BE$17:$BE$116,MATCH($A29&amp;$B29,'計測入力シート（ここのみ編集可）'!$BM$17:$BM$116,0)),"")</f>
        <v>1.162530992</v>
      </c>
      <c r="N29" s="214">
        <f t="array" ref="N29">IFERROR(INDEX('計測入力シート（ここのみ編集可）'!$BN$17:$BN$116,MATCH($A29&amp;$B29,'計測入力シート（ここのみ編集可）'!$BM$17:$BM$116,0)),"")</f>
        <v>8</v>
      </c>
      <c r="O29" s="214" t="str">
        <f t="array" ref="O29">IFERROR(INDEX('計測入力シート（ここのみ編集可）'!$BP$17:$BP$116,MATCH($A29&amp;$B29,'計測入力シート（ここのみ編集可）'!$BM$17:$BM$116,0)),"")</f>
        <v>-</v>
      </c>
      <c r="P29" s="214" t="str">
        <f t="array" ref="P29">IFERROR(INDEX('計測入力シート（ここのみ編集可）'!$BR$17:$BR$116,MATCH($A29&amp;$B29,'計測入力シート（ここのみ編集可）'!$BM$17:$BM$116,0)),"")</f>
        <v>-</v>
      </c>
      <c r="Q29" s="216">
        <f t="array" ref="Q29">IFERROR(INDEX('計測入力シート（ここのみ編集可）'!$BL$17:$BL$116,MATCH($A29&amp;$B29,'計測入力シート（ここのみ編集可）'!$BM$17:$BM$116,0)),"")</f>
        <v>29</v>
      </c>
    </row>
    <row r="30" ht="22.5" customHeight="1">
      <c r="A30" s="86" t="s">
        <v>85</v>
      </c>
      <c r="B30" s="86">
        <v>26.0</v>
      </c>
      <c r="C30" s="86"/>
      <c r="D30" s="217" t="str">
        <f t="array" ref="D30">IFERROR(INDEX('計測入力シート（ここのみ編集可）'!$B$17:$B$116,MATCH($A30&amp;$B30,'計測入力シート（ここのみ編集可）'!$BM$17:$BM$116,0)),"")</f>
        <v>C2</v>
      </c>
      <c r="E30" s="212" t="str">
        <f t="array" ref="E30">IFERROR(INDEX('計測入力シート（ここのみ編集可）'!$D$17:$D$116,MATCH($A30&amp;$B30,'計測入力シート（ここのみ編集可）'!$BM$17:$BM$116,0)),"")</f>
        <v>織田憲男</v>
      </c>
      <c r="F30" s="212" t="str">
        <f t="array" ref="F30">IFERROR(INDEX('計測入力シート（ここのみ編集可）'!$E$17:$E$116,MATCH($A30&amp;$B30,'計測入力シート（ここのみ編集可）'!$BM$17:$BM$116,0)),"")</f>
        <v>MT-03</v>
      </c>
      <c r="G30" s="213" t="str">
        <f t="array" ref="G30">IFERROR(INDEX('計測入力シート（ここのみ編集可）'!$AW$17:$AW$116,MATCH($A30&amp;$B30,'計測入力シート（ここのみ編集可）'!$BM$17:$BM$116,0)),"")</f>
        <v>1:53:531</v>
      </c>
      <c r="H30" s="212">
        <f t="array" ref="H30">IFERROR(INDEX('計測入力シート（ここのみ編集可）'!$AY$17:$AY$116,MATCH($A30&amp;$B30,'計測入力シート（ここのみ編集可）'!$BM$17:$BM$116,0)),"")</f>
        <v>1</v>
      </c>
      <c r="I30" s="214" t="str">
        <f t="array" ref="I30">IFERROR(INDEX('計測入力シート（ここのみ編集可）'!$AZ$17:$AZ$116,MATCH($A30&amp;$B30,'計測入力シート（ここのみ編集可）'!$BM$17:$BM$116,0)),"")</f>
        <v>1:55:157</v>
      </c>
      <c r="J30" s="212" t="str">
        <f t="array" ref="J30">IFERROR(INDEX('計測入力シート（ここのみ編集可）'!$BB$17:$BB$116,MATCH($A30&amp;$B30,'計測入力シート（ここのみ編集可）'!$BM$17:$BM$116,0)),"")</f>
        <v>-</v>
      </c>
      <c r="K30" s="214" t="str">
        <f t="array" ref="K30">IFERROR(INDEX('計測入力シート（ここのみ編集可）'!$BC$17:$BC$116,MATCH($A30&amp;$B30,'計測入力シート（ここのみ編集可）'!$BM$17:$BM$116,0)),"")</f>
        <v>1:54:531</v>
      </c>
      <c r="L30" s="215">
        <f t="array" ref="L30">IFERROR(INDEX('計測入力シート（ここのみ編集可）'!$BD$17:$BD$116,MATCH($A30&amp;$B30,'計測入力シート（ここのみ編集可）'!$BM$17:$BM$116,0)),"")</f>
        <v>1.173401225</v>
      </c>
      <c r="M30" s="215">
        <f t="array" ref="M30">IFERROR(INDEX('計測入力シート（ここのみ編集可）'!$BE$17:$BE$116,MATCH($A30&amp;$B30,'計測入力シート（ここのみ編集可）'!$BM$17:$BM$116,0)),"")</f>
        <v>1.173401225</v>
      </c>
      <c r="N30" s="214">
        <f t="array" ref="N30">IFERROR(INDEX('計測入力シート（ここのみ編集可）'!$BN$17:$BN$116,MATCH($A30&amp;$B30,'計測入力シート（ここのみ編集可）'!$BM$17:$BM$116,0)),"")</f>
        <v>9</v>
      </c>
      <c r="O30" s="214" t="str">
        <f t="array" ref="O30">IFERROR(INDEX('計測入力シート（ここのみ編集可）'!$BP$17:$BP$116,MATCH($A30&amp;$B30,'計測入力シート（ここのみ編集可）'!$BM$17:$BM$116,0)),"")</f>
        <v>-</v>
      </c>
      <c r="P30" s="214" t="str">
        <f t="array" ref="P30">IFERROR(INDEX('計測入力シート（ここのみ編集可）'!$BR$17:$BR$116,MATCH($A30&amp;$B30,'計測入力シート（ここのみ編集可）'!$BM$17:$BM$116,0)),"")</f>
        <v>-</v>
      </c>
      <c r="Q30" s="216">
        <f t="array" ref="Q30">IFERROR(INDEX('計測入力シート（ここのみ編集可）'!$BL$17:$BL$116,MATCH($A30&amp;$B30,'計測入力シート（ここのみ編集可）'!$BM$17:$BM$116,0)),"")</f>
        <v>30</v>
      </c>
    </row>
    <row r="31" ht="22.5" customHeight="1">
      <c r="A31" s="86" t="s">
        <v>85</v>
      </c>
      <c r="B31" s="86">
        <v>27.0</v>
      </c>
      <c r="C31" s="86"/>
      <c r="D31" s="217" t="str">
        <f t="array" ref="D31">IFERROR(INDEX('計測入力シート（ここのみ編集可）'!$B$17:$B$116,MATCH($A31&amp;$B31,'計測入力シート（ここのみ編集可）'!$BM$17:$BM$116,0)),"")</f>
        <v>C2</v>
      </c>
      <c r="E31" s="212" t="str">
        <f t="array" ref="E31">IFERROR(INDEX('計測入力シート（ここのみ編集可）'!$D$17:$D$116,MATCH($A31&amp;$B31,'計測入力シート（ここのみ編集可）'!$BM$17:$BM$116,0)),"")</f>
        <v>もーと</v>
      </c>
      <c r="F31" s="212" t="str">
        <f t="array" ref="F31">IFERROR(INDEX('計測入力シート（ここのみ編集可）'!$E$17:$E$116,MATCH($A31&amp;$B31,'計測入力シート（ここのみ編集可）'!$BM$17:$BM$116,0)),"")</f>
        <v>KX85</v>
      </c>
      <c r="G31" s="213" t="str">
        <f t="array" ref="G31">IFERROR(INDEX('計測入力シート（ここのみ編集可）'!$AW$17:$AW$116,MATCH($A31&amp;$B31,'計測入力シート（ここのみ編集可）'!$BM$17:$BM$116,0)),"")</f>
        <v>DNS</v>
      </c>
      <c r="H31" s="212" t="str">
        <f t="array" ref="H31">IFERROR(INDEX('計測入力シート（ここのみ編集可）'!$AY$17:$AY$116,MATCH($A31&amp;$B31,'計測入力シート（ここのみ編集可）'!$BM$17:$BM$116,0)),"")</f>
        <v>-</v>
      </c>
      <c r="I31" s="214" t="str">
        <f t="array" ref="I31">IFERROR(INDEX('計測入力シート（ここのみ編集可）'!$AZ$17:$AZ$116,MATCH($A31&amp;$B31,'計測入力シート（ここのみ編集可）'!$BM$17:$BM$116,0)),"")</f>
        <v>DNS</v>
      </c>
      <c r="J31" s="212" t="str">
        <f t="array" ref="J31">IFERROR(INDEX('計測入力シート（ここのみ編集可）'!$BB$17:$BB$116,MATCH($A31&amp;$B31,'計測入力シート（ここのみ編集可）'!$BM$17:$BM$116,0)),"")</f>
        <v>-</v>
      </c>
      <c r="K31" s="214" t="str">
        <f t="array" ref="K31">IFERROR(INDEX('計測入力シート（ここのみ編集可）'!$BC$17:$BC$116,MATCH($A31&amp;$B31,'計測入力シート（ここのみ編集可）'!$BM$17:$BM$116,0)),"")</f>
        <v>DNS</v>
      </c>
      <c r="L31" s="215" t="str">
        <f t="array" ref="L31">IFERROR(INDEX('計測入力シート（ここのみ編集可）'!$BD$17:$BD$116,MATCH($A31&amp;$B31,'計測入力シート（ここのみ編集可）'!$BM$17:$BM$116,0)),"")</f>
        <v>-</v>
      </c>
      <c r="M31" s="215" t="str">
        <f t="array" ref="M31">IFERROR(INDEX('計測入力シート（ここのみ編集可）'!$BE$17:$BE$116,MATCH($A31&amp;$B31,'計測入力シート（ここのみ編集可）'!$BM$17:$BM$116,0)),"")</f>
        <v>-</v>
      </c>
      <c r="N31" s="214" t="str">
        <f t="array" ref="N31">IFERROR(INDEX('計測入力シート（ここのみ編集可）'!$BN$17:$BN$116,MATCH($A31&amp;$B31,'計測入力シート（ここのみ編集可）'!$BM$17:$BM$116,0)),"")</f>
        <v>-</v>
      </c>
      <c r="O31" s="214" t="str">
        <f t="array" ref="O31">IFERROR(INDEX('計測入力シート（ここのみ編集可）'!$BP$17:$BP$116,MATCH($A31&amp;$B31,'計測入力シート（ここのみ編集可）'!$BM$17:$BM$116,0)),"")</f>
        <v>-</v>
      </c>
      <c r="P31" s="214" t="str">
        <f t="array" ref="P31">IFERROR(INDEX('計測入力シート（ここのみ編集可）'!$BR$17:$BR$116,MATCH($A31&amp;$B31,'計測入力シート（ここのみ編集可）'!$BM$17:$BM$116,0)),"")</f>
        <v>-</v>
      </c>
      <c r="Q31" s="216" t="str">
        <f t="array" ref="Q31">IFERROR(INDEX('計測入力シート（ここのみ編集可）'!$BL$17:$BL$116,MATCH($A31&amp;$B31,'計測入力シート（ここのみ編集可）'!$BM$17:$BM$116,0)),"")</f>
        <v>-</v>
      </c>
    </row>
    <row r="32" ht="22.5" customHeight="1">
      <c r="A32" s="86" t="s">
        <v>85</v>
      </c>
      <c r="B32" s="86">
        <v>28.0</v>
      </c>
      <c r="C32" s="86"/>
      <c r="D32" s="217" t="str">
        <f t="array" ref="D32">IFERROR(INDEX('計測入力シート（ここのみ編集可）'!$B$17:$B$116,MATCH($A32&amp;$B32,'計測入力シート（ここのみ編集可）'!$BM$17:$BM$116,0)),"")</f>
        <v>D</v>
      </c>
      <c r="E32" s="212" t="str">
        <f t="array" ref="E32">IFERROR(INDEX('計測入力シート（ここのみ編集可）'!$D$17:$D$116,MATCH($A32&amp;$B32,'計測入力シート（ここのみ編集可）'!$BM$17:$BM$116,0)),"")</f>
        <v>川崎幸治</v>
      </c>
      <c r="F32" s="212" t="str">
        <f t="array" ref="F32">IFERROR(INDEX('計測入力シート（ここのみ編集可）'!$E$17:$E$116,MATCH($A32&amp;$B32,'計測入力シート（ここのみ編集可）'!$BM$17:$BM$116,0)),"")</f>
        <v>トリッカー</v>
      </c>
      <c r="G32" s="213" t="str">
        <f t="array" ref="G32">IFERROR(INDEX('計測入力シート（ここのみ編集可）'!$AW$17:$AW$116,MATCH($A32&amp;$B32,'計測入力シート（ここのみ編集可）'!$BM$17:$BM$116,0)),"")</f>
        <v>1:47:950</v>
      </c>
      <c r="H32" s="212">
        <f t="array" ref="H32">IFERROR(INDEX('計測入力シート（ここのみ編集可）'!$AY$17:$AY$116,MATCH($A32&amp;$B32,'計測入力シート（ここのみ編集可）'!$BM$17:$BM$116,0)),"")</f>
        <v>3</v>
      </c>
      <c r="I32" s="214" t="str">
        <f t="array" ref="I32">IFERROR(INDEX('計測入力シート（ここのみ編集可）'!$AZ$17:$AZ$116,MATCH($A32&amp;$B32,'計測入力シート（ここのみ編集可）'!$BM$17:$BM$116,0)),"")</f>
        <v>1:47:289</v>
      </c>
      <c r="J32" s="212" t="str">
        <f t="array" ref="J32">IFERROR(INDEX('計測入力シート（ここのみ編集可）'!$BB$17:$BB$116,MATCH($A32&amp;$B32,'計測入力シート（ここのみ編集可）'!$BM$17:$BM$116,0)),"")</f>
        <v>-</v>
      </c>
      <c r="K32" s="214" t="str">
        <f t="array" ref="K32">IFERROR(INDEX('計測入力シート（ここのみ編集可）'!$BC$17:$BC$116,MATCH($A32&amp;$B32,'計測入力シート（ここのみ編集可）'!$BM$17:$BM$116,0)),"")</f>
        <v>1:47:289</v>
      </c>
      <c r="L32" s="215">
        <f t="array" ref="L32">IFERROR(INDEX('計測入力シート（ここのみ編集可）'!$BD$17:$BD$116,MATCH($A32&amp;$B32,'計測入力シート（ここのみ編集可）'!$BM$17:$BM$116,0)),"")</f>
        <v>1.099204967</v>
      </c>
      <c r="M32" s="215">
        <f t="array" ref="M32">IFERROR(INDEX('計測入力シート（ここのみ編集可）'!$BE$17:$BE$116,MATCH($A32&amp;$B32,'計測入力シート（ここのみ編集可）'!$BM$17:$BM$116,0)),"")</f>
        <v>1.099204967</v>
      </c>
      <c r="N32" s="214">
        <f t="array" ref="N32">IFERROR(INDEX('計測入力シート（ここのみ編集可）'!$BN$17:$BN$116,MATCH($A32&amp;$B32,'計測入力シート（ここのみ編集可）'!$BM$17:$BM$116,0)),"")</f>
        <v>1</v>
      </c>
      <c r="O32" s="214" t="str">
        <f t="array" ref="O32">IFERROR(INDEX('計測入力シート（ここのみ編集可）'!$BP$17:$BP$116,MATCH($A32&amp;$B32,'計測入力シート（ここのみ編集可）'!$BM$17:$BM$116,0)),"")</f>
        <v>-</v>
      </c>
      <c r="P32" s="214" t="str">
        <f t="array" ref="P32">IFERROR(INDEX('計測入力シート（ここのみ編集可）'!$BR$17:$BR$116,MATCH($A32&amp;$B32,'計測入力シート（ここのみ編集可）'!$BM$17:$BM$116,0)),"")</f>
        <v>-</v>
      </c>
      <c r="Q32" s="216">
        <f t="array" ref="Q32">IFERROR(INDEX('計測入力シート（ここのみ編集可）'!$BL$17:$BL$116,MATCH($A32&amp;$B32,'計測入力シート（ここのみ編集可）'!$BM$17:$BM$116,0)),"")</f>
        <v>13</v>
      </c>
    </row>
    <row r="33" ht="22.5" customHeight="1">
      <c r="A33" s="86" t="s">
        <v>85</v>
      </c>
      <c r="B33" s="86">
        <v>29.0</v>
      </c>
      <c r="C33" s="86"/>
      <c r="D33" s="217" t="str">
        <f t="array" ref="D33">IFERROR(INDEX('計測入力シート（ここのみ編集可）'!$B$17:$B$116,MATCH($A33&amp;$B33,'計測入力シート（ここのみ編集可）'!$BM$17:$BM$116,0)),"")</f>
        <v>D</v>
      </c>
      <c r="E33" s="212" t="str">
        <f t="array" ref="E33">IFERROR(INDEX('計測入力シート（ここのみ編集可）'!$D$17:$D$116,MATCH($A33&amp;$B33,'計測入力シート（ここのみ編集可）'!$BM$17:$BM$116,0)),"")</f>
        <v>ふじもん</v>
      </c>
      <c r="F33" s="212" t="str">
        <f t="array" ref="F33">IFERROR(INDEX('計測入力シート（ここのみ編集可）'!$E$17:$E$116,MATCH($A33&amp;$B33,'計測入力シート（ここのみ編集可）'!$BM$17:$BM$116,0)),"")</f>
        <v>MR150</v>
      </c>
      <c r="G33" s="213" t="str">
        <f t="array" ref="G33">IFERROR(INDEX('計測入力シート（ここのみ編集可）'!$AW$17:$AW$116,MATCH($A33&amp;$B33,'計測入力シート（ここのみ編集可）'!$BM$17:$BM$116,0)),"")</f>
        <v>1:50:557</v>
      </c>
      <c r="H33" s="212" t="str">
        <f t="array" ref="H33">IFERROR(INDEX('計測入力シート（ここのみ編集可）'!$AY$17:$AY$116,MATCH($A33&amp;$B33,'計測入力シート（ここのみ編集可）'!$BM$17:$BM$116,0)),"")</f>
        <v>-</v>
      </c>
      <c r="I33" s="214" t="str">
        <f t="array" ref="I33">IFERROR(INDEX('計測入力シート（ここのみ編集可）'!$AZ$17:$AZ$116,MATCH($A33&amp;$B33,'計測入力シート（ここのみ編集可）'!$BM$17:$BM$116,0)),"")</f>
        <v>1:48:489</v>
      </c>
      <c r="J33" s="212" t="str">
        <f t="array" ref="J33">IFERROR(INDEX('計測入力シート（ここのみ編集可）'!$BB$17:$BB$116,MATCH($A33&amp;$B33,'計測入力シート（ここのみ編集可）'!$BM$17:$BM$116,0)),"")</f>
        <v>-</v>
      </c>
      <c r="K33" s="214" t="str">
        <f t="array" ref="K33">IFERROR(INDEX('計測入力シート（ここのみ編集可）'!$BC$17:$BC$116,MATCH($A33&amp;$B33,'計測入力シート（ここのみ編集可）'!$BM$17:$BM$116,0)),"")</f>
        <v>1:48:489</v>
      </c>
      <c r="L33" s="215">
        <f t="array" ref="L33">IFERROR(INDEX('計測入力シート（ここのみ編集可）'!$BD$17:$BD$116,MATCH($A33&amp;$B33,'計測入力シート（ここのみ編集可）'!$BM$17:$BM$116,0)),"")</f>
        <v>1.111499293</v>
      </c>
      <c r="M33" s="215">
        <f t="array" ref="M33">IFERROR(INDEX('計測入力シート（ここのみ編集可）'!$BE$17:$BE$116,MATCH($A33&amp;$B33,'計測入力シート（ここのみ編集可）'!$BM$17:$BM$116,0)),"")</f>
        <v>1.111499293</v>
      </c>
      <c r="N33" s="214">
        <f t="array" ref="N33">IFERROR(INDEX('計測入力シート（ここのみ編集可）'!$BN$17:$BN$116,MATCH($A33&amp;$B33,'計測入力シート（ここのみ編集可）'!$BM$17:$BM$116,0)),"")</f>
        <v>2</v>
      </c>
      <c r="O33" s="214">
        <f t="array" ref="O33">IFERROR(INDEX('計測入力シート（ここのみ編集可）'!$BP$17:$BP$116,MATCH($A33&amp;$B33,'計測入力シート（ここのみ編集可）'!$BM$17:$BM$116,0)),"")</f>
        <v>1</v>
      </c>
      <c r="P33" s="214" t="str">
        <f t="array" ref="P33">IFERROR(INDEX('計測入力シート（ここのみ編集可）'!$BR$17:$BR$116,MATCH($A33&amp;$B33,'計測入力シート（ここのみ編集可）'!$BM$17:$BM$116,0)),"")</f>
        <v>-</v>
      </c>
      <c r="Q33" s="216">
        <f t="array" ref="Q33">IFERROR(INDEX('計測入力シート（ここのみ編集可）'!$BL$17:$BL$116,MATCH($A33&amp;$B33,'計測入力シート（ここのみ編集可）'!$BM$17:$BM$116,0)),"")</f>
        <v>15</v>
      </c>
    </row>
    <row r="34" ht="22.5" customHeight="1">
      <c r="A34" s="86" t="s">
        <v>85</v>
      </c>
      <c r="B34" s="86">
        <v>30.0</v>
      </c>
      <c r="C34" s="86"/>
      <c r="D34" s="217" t="str">
        <f t="array" ref="D34">IFERROR(INDEX('計測入力シート（ここのみ編集可）'!$B$17:$B$116,MATCH($A34&amp;$B34,'計測入力シート（ここのみ編集可）'!$BM$17:$BM$116,0)),"")</f>
        <v>D</v>
      </c>
      <c r="E34" s="212" t="str">
        <f t="array" ref="E34">IFERROR(INDEX('計測入力シート（ここのみ編集可）'!$D$17:$D$116,MATCH($A34&amp;$B34,'計測入力シート（ここのみ編集可）'!$BM$17:$BM$116,0)),"")</f>
        <v>SIGE2878</v>
      </c>
      <c r="F34" s="212" t="str">
        <f t="array" ref="F34">IFERROR(INDEX('計測入力シート（ここのみ編集可）'!$E$17:$E$116,MATCH($A34&amp;$B34,'計測入力シート（ここのみ編集可）'!$BM$17:$BM$116,0)),"")</f>
        <v>CRM250R</v>
      </c>
      <c r="G34" s="213" t="str">
        <f t="array" ref="G34">IFERROR(INDEX('計測入力シート（ここのみ編集可）'!$AW$17:$AW$116,MATCH($A34&amp;$B34,'計測入力シート（ここのみ編集可）'!$BM$17:$BM$116,0)),"")</f>
        <v>1:50:854</v>
      </c>
      <c r="H34" s="212" t="str">
        <f t="array" ref="H34">IFERROR(INDEX('計測入力シート（ここのみ編集可）'!$AY$17:$AY$116,MATCH($A34&amp;$B34,'計測入力シート（ここのみ編集可）'!$BM$17:$BM$116,0)),"")</f>
        <v>-</v>
      </c>
      <c r="I34" s="214" t="str">
        <f t="array" ref="I34">IFERROR(INDEX('計測入力シート（ここのみ編集可）'!$AZ$17:$AZ$116,MATCH($A34&amp;$B34,'計測入力シート（ここのみ編集可）'!$BM$17:$BM$116,0)),"")</f>
        <v>1:48:771</v>
      </c>
      <c r="J34" s="212" t="str">
        <f t="array" ref="J34">IFERROR(INDEX('計測入力シート（ここのみ編集可）'!$BB$17:$BB$116,MATCH($A34&amp;$B34,'計測入力シート（ここのみ編集可）'!$BM$17:$BM$116,0)),"")</f>
        <v>-</v>
      </c>
      <c r="K34" s="214" t="str">
        <f t="array" ref="K34">IFERROR(INDEX('計測入力シート（ここのみ編集可）'!$BC$17:$BC$116,MATCH($A34&amp;$B34,'計測入力シート（ここのみ編集可）'!$BM$17:$BM$116,0)),"")</f>
        <v>1:48:771</v>
      </c>
      <c r="L34" s="215">
        <f t="array" ref="L34">IFERROR(INDEX('計測入力シート（ここのみ編集可）'!$BD$17:$BD$116,MATCH($A34&amp;$B34,'計測入力シート（ここのみ編集可）'!$BM$17:$BM$116,0)),"")</f>
        <v>1.11438846</v>
      </c>
      <c r="M34" s="215">
        <f t="array" ref="M34">IFERROR(INDEX('計測入力シート（ここのみ編集可）'!$BE$17:$BE$116,MATCH($A34&amp;$B34,'計測入力シート（ここのみ編集可）'!$BM$17:$BM$116,0)),"")</f>
        <v>1.11438846</v>
      </c>
      <c r="N34" s="214">
        <f t="array" ref="N34">IFERROR(INDEX('計測入力シート（ここのみ編集可）'!$BN$17:$BN$116,MATCH($A34&amp;$B34,'計測入力シート（ここのみ編集可）'!$BM$17:$BM$116,0)),"")</f>
        <v>3</v>
      </c>
      <c r="O34" s="214" t="str">
        <f t="array" ref="O34">IFERROR(INDEX('計測入力シート（ここのみ編集可）'!$BP$17:$BP$116,MATCH($A34&amp;$B34,'計測入力シート（ここのみ編集可）'!$BM$17:$BM$116,0)),"")</f>
        <v>-</v>
      </c>
      <c r="P34" s="214" t="str">
        <f t="array" ref="P34">IFERROR(INDEX('計測入力シート（ここのみ編集可）'!$BR$17:$BR$116,MATCH($A34&amp;$B34,'計測入力シート（ここのみ編集可）'!$BM$17:$BM$116,0)),"")</f>
        <v>-</v>
      </c>
      <c r="Q34" s="216">
        <f t="array" ref="Q34">IFERROR(INDEX('計測入力シート（ここのみ編集可）'!$BL$17:$BL$116,MATCH($A34&amp;$B34,'計測入力シート（ここのみ編集可）'!$BM$17:$BM$116,0)),"")</f>
        <v>16</v>
      </c>
    </row>
    <row r="35" ht="22.5" customHeight="1">
      <c r="A35" s="86" t="s">
        <v>85</v>
      </c>
      <c r="B35" s="86">
        <v>31.0</v>
      </c>
      <c r="C35" s="86"/>
      <c r="D35" s="217" t="str">
        <f t="array" ref="D35">IFERROR(INDEX('計測入力シート（ここのみ編集可）'!$B$17:$B$116,MATCH($A35&amp;$B35,'計測入力シート（ここのみ編集可）'!$BM$17:$BM$116,0)),"")</f>
        <v>D</v>
      </c>
      <c r="E35" s="212" t="str">
        <f t="array" ref="E35">IFERROR(INDEX('計測入力シート（ここのみ編集可）'!$D$17:$D$116,MATCH($A35&amp;$B35,'計測入力シート（ここのみ編集可）'!$BM$17:$BM$116,0)),"")</f>
        <v>ホッシャ</v>
      </c>
      <c r="F35" s="212" t="str">
        <f t="array" ref="F35">IFERROR(INDEX('計測入力シート（ここのみ編集可）'!$E$17:$E$116,MATCH($A35&amp;$B35,'計測入力シート（ここのみ編集可）'!$BM$17:$BM$116,0)),"")</f>
        <v>VTR</v>
      </c>
      <c r="G35" s="213" t="str">
        <f t="array" ref="G35">IFERROR(INDEX('計測入力シート（ここのみ編集可）'!$AW$17:$AW$116,MATCH($A35&amp;$B35,'計測入力シート（ここのみ編集可）'!$BM$17:$BM$116,0)),"")</f>
        <v>1:54:609</v>
      </c>
      <c r="H35" s="212" t="str">
        <f t="array" ref="H35">IFERROR(INDEX('計測入力シート（ここのみ編集可）'!$AY$17:$AY$116,MATCH($A35&amp;$B35,'計測入力シート（ここのみ編集可）'!$BM$17:$BM$116,0)),"")</f>
        <v>-</v>
      </c>
      <c r="I35" s="214" t="str">
        <f t="array" ref="I35">IFERROR(INDEX('計測入力シート（ここのみ編集可）'!$AZ$17:$AZ$116,MATCH($A35&amp;$B35,'計測入力シート（ここのみ編集可）'!$BM$17:$BM$116,0)),"")</f>
        <v>1:50:535</v>
      </c>
      <c r="J35" s="212" t="str">
        <f t="array" ref="J35">IFERROR(INDEX('計測入力シート（ここのみ編集可）'!$BB$17:$BB$116,MATCH($A35&amp;$B35,'計測入力シート（ここのみ編集可）'!$BM$17:$BM$116,0)),"")</f>
        <v>-</v>
      </c>
      <c r="K35" s="214" t="str">
        <f t="array" ref="K35">IFERROR(INDEX('計測入力シート（ここのみ編集可）'!$BC$17:$BC$116,MATCH($A35&amp;$B35,'計測入力シート（ここのみ編集可）'!$BM$17:$BM$116,0)),"")</f>
        <v>1:50:535</v>
      </c>
      <c r="L35" s="215">
        <f t="array" ref="L35">IFERROR(INDEX('計測入力シート（ここのみ編集可）'!$BD$17:$BD$116,MATCH($A35&amp;$B35,'計測入力シート（ここのみ編集可）'!$BM$17:$BM$116,0)),"")</f>
        <v>1.132461119</v>
      </c>
      <c r="M35" s="215">
        <f t="array" ref="M35">IFERROR(INDEX('計測入力シート（ここのみ編集可）'!$BE$17:$BE$116,MATCH($A35&amp;$B35,'計測入力シート（ここのみ編集可）'!$BM$17:$BM$116,0)),"")</f>
        <v>1.132461119</v>
      </c>
      <c r="N35" s="214">
        <f t="array" ref="N35">IFERROR(INDEX('計測入力シート（ここのみ編集可）'!$BN$17:$BN$116,MATCH($A35&amp;$B35,'計測入力シート（ここのみ編集可）'!$BM$17:$BM$116,0)),"")</f>
        <v>4</v>
      </c>
      <c r="O35" s="214" t="str">
        <f t="array" ref="O35">IFERROR(INDEX('計測入力シート（ここのみ編集可）'!$BP$17:$BP$116,MATCH($A35&amp;$B35,'計測入力シート（ここのみ編集可）'!$BM$17:$BM$116,0)),"")</f>
        <v>-</v>
      </c>
      <c r="P35" s="214" t="str">
        <f t="array" ref="P35">IFERROR(INDEX('計測入力シート（ここのみ編集可）'!$BR$17:$BR$116,MATCH($A35&amp;$B35,'計測入力シート（ここのみ編集可）'!$BM$17:$BM$116,0)),"")</f>
        <v>-</v>
      </c>
      <c r="Q35" s="216">
        <f t="array" ref="Q35">IFERROR(INDEX('計測入力シート（ここのみ編集可）'!$BL$17:$BL$116,MATCH($A35&amp;$B35,'計測入力シート（ここのみ編集可）'!$BM$17:$BM$116,0)),"")</f>
        <v>21</v>
      </c>
    </row>
    <row r="36" ht="22.5" customHeight="1">
      <c r="A36" s="86" t="s">
        <v>85</v>
      </c>
      <c r="B36" s="86">
        <v>32.0</v>
      </c>
      <c r="C36" s="86"/>
      <c r="D36" s="217" t="str">
        <f t="array" ref="D36">IFERROR(INDEX('計測入力シート（ここのみ編集可）'!$B$17:$B$116,MATCH($A36&amp;$B36,'計測入力シート（ここのみ編集可）'!$BM$17:$BM$116,0)),"")</f>
        <v>D</v>
      </c>
      <c r="E36" s="212" t="str">
        <f t="array" ref="E36">IFERROR(INDEX('計測入力シート（ここのみ編集可）'!$D$17:$D$116,MATCH($A36&amp;$B36,'計測入力シート（ここのみ編集可）'!$BM$17:$BM$116,0)),"")</f>
        <v>ひーちゃん</v>
      </c>
      <c r="F36" s="212" t="str">
        <f t="array" ref="F36">IFERROR(INDEX('計測入力シート（ここのみ編集可）'!$E$17:$E$116,MATCH($A36&amp;$B36,'計測入力シート（ここのみ編集可）'!$BM$17:$BM$116,0)),"")</f>
        <v>NSR50改</v>
      </c>
      <c r="G36" s="213" t="str">
        <f t="array" ref="G36">IFERROR(INDEX('計測入力シート（ここのみ編集可）'!$AW$17:$AW$116,MATCH($A36&amp;$B36,'計測入力シート（ここのみ編集可）'!$BM$17:$BM$116,0)),"")</f>
        <v>9:99:999</v>
      </c>
      <c r="H36" s="212" t="str">
        <f t="array" ref="H36">IFERROR(INDEX('計測入力シート（ここのみ編集可）'!$AY$17:$AY$116,MATCH($A36&amp;$B36,'計測入力シート（ここのみ編集可）'!$BM$17:$BM$116,0)),"")</f>
        <v>MC</v>
      </c>
      <c r="I36" s="214" t="str">
        <f t="array" ref="I36">IFERROR(INDEX('計測入力シート（ここのみ編集可）'!$AZ$17:$AZ$116,MATCH($A36&amp;$B36,'計測入力シート（ここのみ編集可）'!$BM$17:$BM$116,0)),"")</f>
        <v>1:50:783</v>
      </c>
      <c r="J36" s="212" t="str">
        <f t="array" ref="J36">IFERROR(INDEX('計測入力シート（ここのみ編集可）'!$BB$17:$BB$116,MATCH($A36&amp;$B36,'計測入力シート（ここのみ編集可）'!$BM$17:$BM$116,0)),"")</f>
        <v>-</v>
      </c>
      <c r="K36" s="214" t="str">
        <f t="array" ref="K36">IFERROR(INDEX('計測入力シート（ここのみ編集可）'!$BC$17:$BC$116,MATCH($A36&amp;$B36,'計測入力シート（ここのみ編集可）'!$BM$17:$BM$116,0)),"")</f>
        <v>1:50:783</v>
      </c>
      <c r="L36" s="215">
        <f t="array" ref="L36">IFERROR(INDEX('計測入力シート（ここのみ編集可）'!$BD$17:$BD$116,MATCH($A36&amp;$B36,'計測入力シート（ここのみ編集可）'!$BM$17:$BM$116,0)),"")</f>
        <v>1.135001947</v>
      </c>
      <c r="M36" s="215">
        <f t="array" ref="M36">IFERROR(INDEX('計測入力シート（ここのみ編集可）'!$BE$17:$BE$116,MATCH($A36&amp;$B36,'計測入力シート（ここのみ編集可）'!$BM$17:$BM$116,0)),"")</f>
        <v>1.135001947</v>
      </c>
      <c r="N36" s="214">
        <f t="array" ref="N36">IFERROR(INDEX('計測入力シート（ここのみ編集可）'!$BN$17:$BN$116,MATCH($A36&amp;$B36,'計測入力シート（ここのみ編集可）'!$BM$17:$BM$116,0)),"")</f>
        <v>5</v>
      </c>
      <c r="O36" s="214" t="str">
        <f t="array" ref="O36">IFERROR(INDEX('計測入力シート（ここのみ編集可）'!$BP$17:$BP$116,MATCH($A36&amp;$B36,'計測入力シート（ここのみ編集可）'!$BM$17:$BM$116,0)),"")</f>
        <v>-</v>
      </c>
      <c r="P36" s="214" t="str">
        <f t="array" ref="P36">IFERROR(INDEX('計測入力シート（ここのみ編集可）'!$BR$17:$BR$116,MATCH($A36&amp;$B36,'計測入力シート（ここのみ編集可）'!$BM$17:$BM$116,0)),"")</f>
        <v>-</v>
      </c>
      <c r="Q36" s="216">
        <f t="array" ref="Q36">IFERROR(INDEX('計測入力シート（ここのみ編集可）'!$BL$17:$BL$116,MATCH($A36&amp;$B36,'計測入力シート（ここのみ編集可）'!$BM$17:$BM$116,0)),"")</f>
        <v>22</v>
      </c>
    </row>
    <row r="37" ht="22.5" customHeight="1">
      <c r="A37" s="86" t="s">
        <v>85</v>
      </c>
      <c r="B37" s="86">
        <v>33.0</v>
      </c>
      <c r="C37" s="86"/>
      <c r="D37" s="217" t="str">
        <f t="array" ref="D37">IFERROR(INDEX('計測入力シート（ここのみ編集可）'!$B$17:$B$116,MATCH($A37&amp;$B37,'計測入力シート（ここのみ編集可）'!$BM$17:$BM$116,0)),"")</f>
        <v>D</v>
      </c>
      <c r="E37" s="212" t="str">
        <f t="array" ref="E37">IFERROR(INDEX('計測入力シート（ここのみ編集可）'!$D$17:$D$116,MATCH($A37&amp;$B37,'計測入力シート（ここのみ編集可）'!$BM$17:$BM$116,0)),"")</f>
        <v>ぶんちゃん</v>
      </c>
      <c r="F37" s="212" t="str">
        <f t="array" ref="F37">IFERROR(INDEX('計測入力シート（ここのみ編集可）'!$E$17:$E$116,MATCH($A37&amp;$B37,'計測入力シート（ここのみ編集可）'!$BM$17:$BM$116,0)),"")</f>
        <v>GSX-R1000</v>
      </c>
      <c r="G37" s="213" t="str">
        <f t="array" ref="G37">IFERROR(INDEX('計測入力シート（ここのみ編集可）'!$AW$17:$AW$116,MATCH($A37&amp;$B37,'計測入力シート（ここのみ編集可）'!$BM$17:$BM$116,0)),"")</f>
        <v>9:99:999</v>
      </c>
      <c r="H37" s="212" t="str">
        <f t="array" ref="H37">IFERROR(INDEX('計測入力シート（ここのみ編集可）'!$AY$17:$AY$116,MATCH($A37&amp;$B37,'計測入力シート（ここのみ編集可）'!$BM$17:$BM$116,0)),"")</f>
        <v>MC</v>
      </c>
      <c r="I37" s="214" t="str">
        <f t="array" ref="I37">IFERROR(INDEX('計測入力シート（ここのみ編集可）'!$AZ$17:$AZ$116,MATCH($A37&amp;$B37,'計測入力シート（ここのみ編集可）'!$BM$17:$BM$116,0)),"")</f>
        <v>1:50:255</v>
      </c>
      <c r="J37" s="212">
        <f t="array" ref="J37">IFERROR(INDEX('計測入力シート（ここのみ編集可）'!$BB$17:$BB$116,MATCH($A37&amp;$B37,'計測入力シート（ここのみ編集可）'!$BM$17:$BM$116,0)),"")</f>
        <v>1</v>
      </c>
      <c r="K37" s="214" t="str">
        <f t="array" ref="K37">IFERROR(INDEX('計測入力シート（ここのみ編集可）'!$BC$17:$BC$116,MATCH($A37&amp;$B37,'計測入力シート（ここのみ編集可）'!$BM$17:$BM$116,0)),"")</f>
        <v>1:51:255</v>
      </c>
      <c r="L37" s="215">
        <f t="array" ref="L37">IFERROR(INDEX('計測入力シート（ここのみ編集可）'!$BD$17:$BD$116,MATCH($A37&amp;$B37,'計測入力シート（ここのみ編集可）'!$BM$17:$BM$116,0)),"")</f>
        <v>1.139837715</v>
      </c>
      <c r="M37" s="215">
        <f t="array" ref="M37">IFERROR(INDEX('計測入力シート（ここのみ編集可）'!$BE$17:$BE$116,MATCH($A37&amp;$B37,'計測入力シート（ここのみ編集可）'!$BM$17:$BM$116,0)),"")</f>
        <v>1.139837715</v>
      </c>
      <c r="N37" s="214">
        <f t="array" ref="N37">IFERROR(INDEX('計測入力シート（ここのみ編集可）'!$BN$17:$BN$116,MATCH($A37&amp;$B37,'計測入力シート（ここのみ編集可）'!$BM$17:$BM$116,0)),"")</f>
        <v>6</v>
      </c>
      <c r="O37" s="214" t="str">
        <f t="array" ref="O37">IFERROR(INDEX('計測入力シート（ここのみ編集可）'!$BP$17:$BP$116,MATCH($A37&amp;$B37,'計測入力シート（ここのみ編集可）'!$BM$17:$BM$116,0)),"")</f>
        <v>-</v>
      </c>
      <c r="P37" s="214" t="str">
        <f t="array" ref="P37">IFERROR(INDEX('計測入力シート（ここのみ編集可）'!$BR$17:$BR$116,MATCH($A37&amp;$B37,'計測入力シート（ここのみ編集可）'!$BM$17:$BM$116,0)),"")</f>
        <v>-</v>
      </c>
      <c r="Q37" s="216">
        <f t="array" ref="Q37">IFERROR(INDEX('計測入力シート（ここのみ編集可）'!$BL$17:$BL$116,MATCH($A37&amp;$B37,'計測入力シート（ここのみ編集可）'!$BM$17:$BM$116,0)),"")</f>
        <v>24</v>
      </c>
    </row>
    <row r="38" ht="22.5" customHeight="1">
      <c r="A38" s="86" t="s">
        <v>85</v>
      </c>
      <c r="B38" s="86">
        <v>34.0</v>
      </c>
      <c r="C38" s="86"/>
      <c r="D38" s="217" t="str">
        <f t="array" ref="D38">IFERROR(INDEX('計測入力シート（ここのみ編集可）'!$B$17:$B$116,MATCH($A38&amp;$B38,'計測入力シート（ここのみ編集可）'!$BM$17:$BM$116,0)),"")</f>
        <v>D</v>
      </c>
      <c r="E38" s="212" t="str">
        <f t="array" ref="E38">IFERROR(INDEX('計測入力シート（ここのみ編集可）'!$D$17:$D$116,MATCH($A38&amp;$B38,'計測入力シート（ここのみ編集可）'!$BM$17:$BM$116,0)),"")</f>
        <v>ひさぽん</v>
      </c>
      <c r="F38" s="212" t="str">
        <f t="array" ref="F38">IFERROR(INDEX('計測入力シート（ここのみ編集可）'!$E$17:$E$116,MATCH($A38&amp;$B38,'計測入力シート（ここのみ編集可）'!$BM$17:$BM$116,0)),"")</f>
        <v>NSR50改</v>
      </c>
      <c r="G38" s="213" t="str">
        <f t="array" ref="G38">IFERROR(INDEX('計測入力シート（ここのみ編集可）'!$AW$17:$AW$116,MATCH($A38&amp;$B38,'計測入力シート（ここのみ編集可）'!$BM$17:$BM$116,0)),"")</f>
        <v>9:99:999</v>
      </c>
      <c r="H38" s="212" t="str">
        <f t="array" ref="H38">IFERROR(INDEX('計測入力シート（ここのみ編集可）'!$AY$17:$AY$116,MATCH($A38&amp;$B38,'計測入力シート（ここのみ編集可）'!$BM$17:$BM$116,0)),"")</f>
        <v>MC</v>
      </c>
      <c r="I38" s="214" t="str">
        <f t="array" ref="I38">IFERROR(INDEX('計測入力シート（ここのみ編集可）'!$AZ$17:$AZ$116,MATCH($A38&amp;$B38,'計測入力シート（ここのみ編集可）'!$BM$17:$BM$116,0)),"")</f>
        <v>1:52:505</v>
      </c>
      <c r="J38" s="212" t="str">
        <f t="array" ref="J38">IFERROR(INDEX('計測入力シート（ここのみ編集可）'!$BB$17:$BB$116,MATCH($A38&amp;$B38,'計測入力シート（ここのみ編集可）'!$BM$17:$BM$116,0)),"")</f>
        <v>-</v>
      </c>
      <c r="K38" s="214" t="str">
        <f t="array" ref="K38">IFERROR(INDEX('計測入力シート（ここのみ編集可）'!$BC$17:$BC$116,MATCH($A38&amp;$B38,'計測入力シート（ここのみ編集可）'!$BM$17:$BM$116,0)),"")</f>
        <v>1:52:505</v>
      </c>
      <c r="L38" s="215">
        <f t="array" ref="L38">IFERROR(INDEX('計測入力シート（ここのみ編集可）'!$BD$17:$BD$116,MATCH($A38&amp;$B38,'計測入力シート（ここのみ編集可）'!$BM$17:$BM$116,0)),"")</f>
        <v>1.152644305</v>
      </c>
      <c r="M38" s="215">
        <f t="array" ref="M38">IFERROR(INDEX('計測入力シート（ここのみ編集可）'!$BE$17:$BE$116,MATCH($A38&amp;$B38,'計測入力シート（ここのみ編集可）'!$BM$17:$BM$116,0)),"")</f>
        <v>1.152644305</v>
      </c>
      <c r="N38" s="214">
        <f t="array" ref="N38">IFERROR(INDEX('計測入力シート（ここのみ編集可）'!$BN$17:$BN$116,MATCH($A38&amp;$B38,'計測入力シート（ここのみ編集可）'!$BM$17:$BM$116,0)),"")</f>
        <v>7</v>
      </c>
      <c r="O38" s="214" t="str">
        <f t="array" ref="O38">IFERROR(INDEX('計測入力シート（ここのみ編集可）'!$BP$17:$BP$116,MATCH($A38&amp;$B38,'計測入力シート（ここのみ編集可）'!$BM$17:$BM$116,0)),"")</f>
        <v>-</v>
      </c>
      <c r="P38" s="214" t="str">
        <f t="array" ref="P38">IFERROR(INDEX('計測入力シート（ここのみ編集可）'!$BR$17:$BR$116,MATCH($A38&amp;$B38,'計測入力シート（ここのみ編集可）'!$BM$17:$BM$116,0)),"")</f>
        <v>-</v>
      </c>
      <c r="Q38" s="216">
        <f t="array" ref="Q38">IFERROR(INDEX('計測入力シート（ここのみ編集可）'!$BL$17:$BL$116,MATCH($A38&amp;$B38,'計測入力シート（ここのみ編集可）'!$BM$17:$BM$116,0)),"")</f>
        <v>26</v>
      </c>
    </row>
    <row r="39" ht="22.5" customHeight="1">
      <c r="A39" s="86" t="s">
        <v>85</v>
      </c>
      <c r="B39" s="86">
        <v>35.0</v>
      </c>
      <c r="C39" s="86"/>
      <c r="D39" s="217" t="str">
        <f t="array" ref="D39">IFERROR(INDEX('計測入力シート（ここのみ編集可）'!$B$17:$B$116,MATCH($A39&amp;$B39,'計測入力シート（ここのみ編集可）'!$BM$17:$BM$116,0)),"")</f>
        <v>D</v>
      </c>
      <c r="E39" s="212" t="str">
        <f t="array" ref="E39">IFERROR(INDEX('計測入力シート（ここのみ編集可）'!$D$17:$D$116,MATCH($A39&amp;$B39,'計測入力シート（ここのみ編集可）'!$BM$17:$BM$116,0)),"")</f>
        <v>ちゃっぴー</v>
      </c>
      <c r="F39" s="212" t="str">
        <f t="array" ref="F39">IFERROR(INDEX('計測入力シート（ここのみ編集可）'!$E$17:$E$116,MATCH($A39&amp;$B39,'計測入力シート（ここのみ編集可）'!$BM$17:$BM$116,0)),"")</f>
        <v>CB250R</v>
      </c>
      <c r="G39" s="213" t="str">
        <f t="array" ref="G39">IFERROR(INDEX('計測入力シート（ここのみ編集可）'!$AW$17:$AW$116,MATCH($A39&amp;$B39,'計測入力シート（ここのみ編集可）'!$BM$17:$BM$116,0)),"")</f>
        <v>1:54:429</v>
      </c>
      <c r="H39" s="212" t="str">
        <f t="array" ref="H39">IFERROR(INDEX('計測入力シート（ここのみ編集可）'!$AY$17:$AY$116,MATCH($A39&amp;$B39,'計測入力シート（ここのみ編集可）'!$BM$17:$BM$116,0)),"")</f>
        <v>-</v>
      </c>
      <c r="I39" s="214" t="str">
        <f t="array" ref="I39">IFERROR(INDEX('計測入力シート（ここのみ編集可）'!$AZ$17:$AZ$116,MATCH($A39&amp;$B39,'計測入力シート（ここのみ編集可）'!$BM$17:$BM$116,0)),"")</f>
        <v>1:53:304</v>
      </c>
      <c r="J39" s="212" t="str">
        <f t="array" ref="J39">IFERROR(INDEX('計測入力シート（ここのみ編集可）'!$BB$17:$BB$116,MATCH($A39&amp;$B39,'計測入力シート（ここのみ編集可）'!$BM$17:$BM$116,0)),"")</f>
        <v>-</v>
      </c>
      <c r="K39" s="214" t="str">
        <f t="array" ref="K39">IFERROR(INDEX('計測入力シート（ここのみ編集可）'!$BC$17:$BC$116,MATCH($A39&amp;$B39,'計測入力シート（ここのみ編集可）'!$BM$17:$BM$116,0)),"")</f>
        <v>1:53:304</v>
      </c>
      <c r="L39" s="215">
        <f t="array" ref="L39">IFERROR(INDEX('計測入力シート（ここのみ編集可）'!$BD$17:$BD$116,MATCH($A39&amp;$B39,'計測入力シート（ここのみ編集可）'!$BM$17:$BM$116,0)),"")</f>
        <v>1.160830277</v>
      </c>
      <c r="M39" s="215">
        <f t="array" ref="M39">IFERROR(INDEX('計測入力シート（ここのみ編集可）'!$BE$17:$BE$116,MATCH($A39&amp;$B39,'計測入力シート（ここのみ編集可）'!$BM$17:$BM$116,0)),"")</f>
        <v>1.160830277</v>
      </c>
      <c r="N39" s="214">
        <f t="array" ref="N39">IFERROR(INDEX('計測入力シート（ここのみ編集可）'!$BN$17:$BN$116,MATCH($A39&amp;$B39,'計測入力シート（ここのみ編集可）'!$BM$17:$BM$116,0)),"")</f>
        <v>8</v>
      </c>
      <c r="O39" s="214" t="str">
        <f t="array" ref="O39">IFERROR(INDEX('計測入力シート（ここのみ編集可）'!$BP$17:$BP$116,MATCH($A39&amp;$B39,'計測入力シート（ここのみ編集可）'!$BM$17:$BM$116,0)),"")</f>
        <v>-</v>
      </c>
      <c r="P39" s="214" t="str">
        <f t="array" ref="P39">IFERROR(INDEX('計測入力シート（ここのみ編集可）'!$BR$17:$BR$116,MATCH($A39&amp;$B39,'計測入力シート（ここのみ編集可）'!$BM$17:$BM$116,0)),"")</f>
        <v>-</v>
      </c>
      <c r="Q39" s="216">
        <f t="array" ref="Q39">IFERROR(INDEX('計測入力シート（ここのみ編集可）'!$BL$17:$BL$116,MATCH($A39&amp;$B39,'計測入力シート（ここのみ編集可）'!$BM$17:$BM$116,0)),"")</f>
        <v>28</v>
      </c>
    </row>
    <row r="40" ht="22.5" customHeight="1">
      <c r="A40" s="86" t="s">
        <v>85</v>
      </c>
      <c r="B40" s="86">
        <v>36.0</v>
      </c>
      <c r="C40" s="86"/>
      <c r="D40" s="217" t="str">
        <f t="array" ref="D40">IFERROR(INDEX('計測入力シート（ここのみ編集可）'!$B$17:$B$116,MATCH($A40&amp;$B40,'計測入力シート（ここのみ編集可）'!$BM$17:$BM$116,0)),"")</f>
        <v>D</v>
      </c>
      <c r="E40" s="212" t="str">
        <f t="array" ref="E40">IFERROR(INDEX('計測入力シート（ここのみ編集可）'!$D$17:$D$116,MATCH($A40&amp;$B40,'計測入力シート（ここのみ編集可）'!$BM$17:$BM$116,0)),"")</f>
        <v>すちんぐれ</v>
      </c>
      <c r="F40" s="212" t="str">
        <f t="array" ref="F40">IFERROR(INDEX('計測入力シート（ここのみ編集可）'!$E$17:$E$116,MATCH($A40&amp;$B40,'計測入力シート（ここのみ編集可）'!$BM$17:$BM$116,0)),"")</f>
        <v>VTR</v>
      </c>
      <c r="G40" s="213" t="str">
        <f t="array" ref="G40">IFERROR(INDEX('計測入力シート（ここのみ編集可）'!$AW$17:$AW$116,MATCH($A40&amp;$B40,'計測入力シート（ここのみ編集可）'!$BM$17:$BM$116,0)),"")</f>
        <v>1:57:901</v>
      </c>
      <c r="H40" s="212" t="str">
        <f t="array" ref="H40">IFERROR(INDEX('計測入力シート（ここのみ編集可）'!$AY$17:$AY$116,MATCH($A40&amp;$B40,'計測入力シート（ここのみ編集可）'!$BM$17:$BM$116,0)),"")</f>
        <v>-</v>
      </c>
      <c r="I40" s="214" t="str">
        <f t="array" ref="I40">IFERROR(INDEX('計測入力シート（ここのみ編集可）'!$AZ$17:$AZ$116,MATCH($A40&amp;$B40,'計測入力シート（ここのみ編集可）'!$BM$17:$BM$116,0)),"")</f>
        <v>2:00:349</v>
      </c>
      <c r="J40" s="212" t="str">
        <f t="array" ref="J40">IFERROR(INDEX('計測入力シート（ここのみ編集可）'!$BB$17:$BB$116,MATCH($A40&amp;$B40,'計測入力シート（ここのみ編集可）'!$BM$17:$BM$116,0)),"")</f>
        <v>-</v>
      </c>
      <c r="K40" s="214" t="str">
        <f t="array" ref="K40">IFERROR(INDEX('計測入力シート（ここのみ編集可）'!$BC$17:$BC$116,MATCH($A40&amp;$B40,'計測入力シート（ここのみ編集可）'!$BM$17:$BM$116,0)),"")</f>
        <v>1:57:901</v>
      </c>
      <c r="L40" s="215">
        <f t="array" ref="L40">IFERROR(INDEX('計測入力シート（ここのみ編集可）'!$BD$17:$BD$116,MATCH($A40&amp;$B40,'計測入力シート（ここのみ編集可）'!$BM$17:$BM$116,0)),"")</f>
        <v>1.207927791</v>
      </c>
      <c r="M40" s="215">
        <f t="array" ref="M40">IFERROR(INDEX('計測入力シート（ここのみ編集可）'!$BE$17:$BE$116,MATCH($A40&amp;$B40,'計測入力シート（ここのみ編集可）'!$BM$17:$BM$116,0)),"")</f>
        <v>1.207927791</v>
      </c>
      <c r="N40" s="214">
        <f t="array" ref="N40">IFERROR(INDEX('計測入力シート（ここのみ編集可）'!$BN$17:$BN$116,MATCH($A40&amp;$B40,'計測入力シート（ここのみ編集可）'!$BM$17:$BM$116,0)),"")</f>
        <v>9</v>
      </c>
      <c r="O40" s="214" t="str">
        <f t="array" ref="O40">IFERROR(INDEX('計測入力シート（ここのみ編集可）'!$BP$17:$BP$116,MATCH($A40&amp;$B40,'計測入力シート（ここのみ編集可）'!$BM$17:$BM$116,0)),"")</f>
        <v>-</v>
      </c>
      <c r="P40" s="214" t="str">
        <f t="array" ref="P40">IFERROR(INDEX('計測入力シート（ここのみ編集可）'!$BR$17:$BR$116,MATCH($A40&amp;$B40,'計測入力シート（ここのみ編集可）'!$BM$17:$BM$116,0)),"")</f>
        <v>-</v>
      </c>
      <c r="Q40" s="216">
        <f t="array" ref="Q40">IFERROR(INDEX('計測入力シート（ここのみ編集可）'!$BL$17:$BL$116,MATCH($A40&amp;$B40,'計測入力シート（ここのみ編集可）'!$BM$17:$BM$116,0)),"")</f>
        <v>35</v>
      </c>
    </row>
    <row r="41" ht="22.5" customHeight="1">
      <c r="A41" s="86" t="s">
        <v>85</v>
      </c>
      <c r="B41" s="86">
        <v>37.0</v>
      </c>
      <c r="C41" s="86"/>
      <c r="D41" s="217" t="str">
        <f t="array" ref="D41">IFERROR(INDEX('計測入力シート（ここのみ編集可）'!$B$17:$B$116,MATCH($A41&amp;$B41,'計測入力シート（ここのみ編集可）'!$BM$17:$BM$116,0)),"")</f>
        <v>D</v>
      </c>
      <c r="E41" s="212" t="str">
        <f t="array" ref="E41">IFERROR(INDEX('計測入力シート（ここのみ編集可）'!$D$17:$D$116,MATCH($A41&amp;$B41,'計測入力シート（ここのみ編集可）'!$BM$17:$BM$116,0)),"")</f>
        <v>たま</v>
      </c>
      <c r="F41" s="212" t="str">
        <f t="array" ref="F41">IFERROR(INDEX('計測入力シート（ここのみ編集可）'!$E$17:$E$116,MATCH($A41&amp;$B41,'計測入力シート（ここのみ編集可）'!$BM$17:$BM$116,0)),"")</f>
        <v>GSX-S1000</v>
      </c>
      <c r="G41" s="213" t="str">
        <f t="array" ref="G41">IFERROR(INDEX('計測入力シート（ここのみ編集可）'!$AW$17:$AW$116,MATCH($A41&amp;$B41,'計測入力シート（ここのみ編集可）'!$BM$17:$BM$116,0)),"")</f>
        <v>9:99:999</v>
      </c>
      <c r="H41" s="212" t="str">
        <f t="array" ref="H41">IFERROR(INDEX('計測入力シート（ここのみ編集可）'!$AY$17:$AY$116,MATCH($A41&amp;$B41,'計測入力シート（ここのみ編集可）'!$BM$17:$BM$116,0)),"")</f>
        <v>MC</v>
      </c>
      <c r="I41" s="214" t="str">
        <f t="array" ref="I41">IFERROR(INDEX('計測入力シート（ここのみ編集可）'!$AZ$17:$AZ$116,MATCH($A41&amp;$B41,'計測入力シート（ここのみ編集可）'!$BM$17:$BM$116,0)),"")</f>
        <v>1:57:988</v>
      </c>
      <c r="J41" s="212" t="str">
        <f t="array" ref="J41">IFERROR(INDEX('計測入力シート（ここのみ編集可）'!$BB$17:$BB$116,MATCH($A41&amp;$B41,'計測入力シート（ここのみ編集可）'!$BM$17:$BM$116,0)),"")</f>
        <v>-</v>
      </c>
      <c r="K41" s="214" t="str">
        <f t="array" ref="K41">IFERROR(INDEX('計測入力シート（ここのみ編集可）'!$BC$17:$BC$116,MATCH($A41&amp;$B41,'計測入力シート（ここのみ編集可）'!$BM$17:$BM$116,0)),"")</f>
        <v>1:57:988</v>
      </c>
      <c r="L41" s="215">
        <f t="array" ref="L41">IFERROR(INDEX('計測入力シート（ここのみ編集可）'!$BD$17:$BD$116,MATCH($A41&amp;$B41,'計測入力シート（ここのみ編集可）'!$BM$17:$BM$116,0)),"")</f>
        <v>1.20881913</v>
      </c>
      <c r="M41" s="215">
        <f t="array" ref="M41">IFERROR(INDEX('計測入力シート（ここのみ編集可）'!$BE$17:$BE$116,MATCH($A41&amp;$B41,'計測入力シート（ここのみ編集可）'!$BM$17:$BM$116,0)),"")</f>
        <v>1.20881913</v>
      </c>
      <c r="N41" s="214">
        <f t="array" ref="N41">IFERROR(INDEX('計測入力シート（ここのみ編集可）'!$BN$17:$BN$116,MATCH($A41&amp;$B41,'計測入力シート（ここのみ編集可）'!$BM$17:$BM$116,0)),"")</f>
        <v>10</v>
      </c>
      <c r="O41" s="214" t="str">
        <f t="array" ref="O41">IFERROR(INDEX('計測入力シート（ここのみ編集可）'!$BP$17:$BP$116,MATCH($A41&amp;$B41,'計測入力シート（ここのみ編集可）'!$BM$17:$BM$116,0)),"")</f>
        <v>-</v>
      </c>
      <c r="P41" s="214" t="str">
        <f t="array" ref="P41">IFERROR(INDEX('計測入力シート（ここのみ編集可）'!$BR$17:$BR$116,MATCH($A41&amp;$B41,'計測入力シート（ここのみ編集可）'!$BM$17:$BM$116,0)),"")</f>
        <v>-</v>
      </c>
      <c r="Q41" s="216">
        <f t="array" ref="Q41">IFERROR(INDEX('計測入力シート（ここのみ編集可）'!$BL$17:$BL$116,MATCH($A41&amp;$B41,'計測入力シート（ここのみ編集可）'!$BM$17:$BM$116,0)),"")</f>
        <v>36</v>
      </c>
    </row>
    <row r="42" ht="22.5" customHeight="1">
      <c r="A42" s="86" t="s">
        <v>85</v>
      </c>
      <c r="B42" s="86">
        <v>38.0</v>
      </c>
      <c r="C42" s="86"/>
      <c r="D42" s="217" t="str">
        <f t="array" ref="D42">IFERROR(INDEX('計測入力シート（ここのみ編集可）'!$B$17:$B$116,MATCH($A42&amp;$B42,'計測入力シート（ここのみ編集可）'!$BM$17:$BM$116,0)),"")</f>
        <v>D</v>
      </c>
      <c r="E42" s="212" t="str">
        <f t="array" ref="E42">IFERROR(INDEX('計測入力シート（ここのみ編集可）'!$D$17:$D$116,MATCH($A42&amp;$B42,'計測入力シート（ここのみ編集可）'!$BM$17:$BM$116,0)),"")</f>
        <v>フラッキーニョ</v>
      </c>
      <c r="F42" s="212" t="str">
        <f t="array" ref="F42">IFERROR(INDEX('計測入力シート（ここのみ編集可）'!$E$17:$E$116,MATCH($A42&amp;$B42,'計測入力シート（ここのみ編集可）'!$BM$17:$BM$116,0)),"")</f>
        <v>Ninja650</v>
      </c>
      <c r="G42" s="213" t="str">
        <f t="array" ref="G42">IFERROR(INDEX('計測入力シート（ここのみ編集可）'!$AW$17:$AW$116,MATCH($A42&amp;$B42,'計測入力シート（ここのみ編集可）'!$BM$17:$BM$116,0)),"")</f>
        <v>1:58:659</v>
      </c>
      <c r="H42" s="212" t="str">
        <f t="array" ref="H42">IFERROR(INDEX('計測入力シート（ここのみ編集可）'!$AY$17:$AY$116,MATCH($A42&amp;$B42,'計測入力シート（ここのみ編集可）'!$BM$17:$BM$116,0)),"")</f>
        <v>-</v>
      </c>
      <c r="I42" s="214" t="str">
        <f t="array" ref="I42">IFERROR(INDEX('計測入力シート（ここのみ編集可）'!$AZ$17:$AZ$116,MATCH($A42&amp;$B42,'計測入力シート（ここのみ編集可）'!$BM$17:$BM$116,0)),"")</f>
        <v>9:99:999</v>
      </c>
      <c r="J42" s="212" t="str">
        <f t="array" ref="J42">IFERROR(INDEX('計測入力シート（ここのみ編集可）'!$BB$17:$BB$116,MATCH($A42&amp;$B42,'計測入力シート（ここのみ編集可）'!$BM$17:$BM$116,0)),"")</f>
        <v>MC</v>
      </c>
      <c r="K42" s="214" t="str">
        <f t="array" ref="K42">IFERROR(INDEX('計測入力シート（ここのみ編集可）'!$BC$17:$BC$116,MATCH($A42&amp;$B42,'計測入力シート（ここのみ編集可）'!$BM$17:$BM$116,0)),"")</f>
        <v>1:58:659</v>
      </c>
      <c r="L42" s="215">
        <f t="array" ref="L42">IFERROR(INDEX('計測入力シート（ここのみ編集可）'!$BD$17:$BD$116,MATCH($A42&amp;$B42,'計測入力シート（ここのみ編集可）'!$BM$17:$BM$116,0)),"")</f>
        <v>1.215693707</v>
      </c>
      <c r="M42" s="215">
        <f t="array" ref="M42">IFERROR(INDEX('計測入力シート（ここのみ編集可）'!$BE$17:$BE$116,MATCH($A42&amp;$B42,'計測入力シート（ここのみ編集可）'!$BM$17:$BM$116,0)),"")</f>
        <v>1.215693707</v>
      </c>
      <c r="N42" s="214">
        <f t="array" ref="N42">IFERROR(INDEX('計測入力シート（ここのみ編集可）'!$BN$17:$BN$116,MATCH($A42&amp;$B42,'計測入力シート（ここのみ編集可）'!$BM$17:$BM$116,0)),"")</f>
        <v>11</v>
      </c>
      <c r="O42" s="214" t="str">
        <f t="array" ref="O42">IFERROR(INDEX('計測入力シート（ここのみ編集可）'!$BP$17:$BP$116,MATCH($A42&amp;$B42,'計測入力シート（ここのみ編集可）'!$BM$17:$BM$116,0)),"")</f>
        <v>-</v>
      </c>
      <c r="P42" s="214" t="str">
        <f t="array" ref="P42">IFERROR(INDEX('計測入力シート（ここのみ編集可）'!$BR$17:$BR$116,MATCH($A42&amp;$B42,'計測入力シート（ここのみ編集可）'!$BM$17:$BM$116,0)),"")</f>
        <v>-</v>
      </c>
      <c r="Q42" s="216">
        <f t="array" ref="Q42">IFERROR(INDEX('計測入力シート（ここのみ編集可）'!$BL$17:$BL$116,MATCH($A42&amp;$B42,'計測入力シート（ここのみ編集可）'!$BM$17:$BM$116,0)),"")</f>
        <v>38</v>
      </c>
    </row>
    <row r="43" ht="22.5" customHeight="1">
      <c r="A43" s="86" t="s">
        <v>85</v>
      </c>
      <c r="B43" s="86">
        <v>39.0</v>
      </c>
      <c r="C43" s="86"/>
      <c r="D43" s="217" t="str">
        <f t="array" ref="D43">IFERROR(INDEX('計測入力シート（ここのみ編集可）'!$B$17:$B$116,MATCH($A43&amp;$B43,'計測入力シート（ここのみ編集可）'!$BM$17:$BM$116,0)),"")</f>
        <v>D</v>
      </c>
      <c r="E43" s="212" t="str">
        <f t="array" ref="E43">IFERROR(INDEX('計測入力シート（ここのみ編集可）'!$D$17:$D$116,MATCH($A43&amp;$B43,'計測入力シート（ここのみ編集可）'!$BM$17:$BM$116,0)),"")</f>
        <v>タンビーナ</v>
      </c>
      <c r="F43" s="212" t="str">
        <f t="array" ref="F43">IFERROR(INDEX('計測入力シート（ここのみ編集可）'!$E$17:$E$116,MATCH($A43&amp;$B43,'計測入力シート（ここのみ編集可）'!$BM$17:$BM$116,0)),"")</f>
        <v>MT-03</v>
      </c>
      <c r="G43" s="213" t="str">
        <f t="array" ref="G43">IFERROR(INDEX('計測入力シート（ここのみ編集可）'!$AW$17:$AW$116,MATCH($A43&amp;$B43,'計測入力シート（ここのみ編集可）'!$BM$17:$BM$116,0)),"")</f>
        <v>9:99:999</v>
      </c>
      <c r="H43" s="212" t="str">
        <f t="array" ref="H43">IFERROR(INDEX('計測入力シート（ここのみ編集可）'!$AY$17:$AY$116,MATCH($A43&amp;$B43,'計測入力シート（ここのみ編集可）'!$BM$17:$BM$116,0)),"")</f>
        <v>MC</v>
      </c>
      <c r="I43" s="214" t="str">
        <f t="array" ref="I43">IFERROR(INDEX('計測入力シート（ここのみ編集可）'!$AZ$17:$AZ$116,MATCH($A43&amp;$B43,'計測入力シート（ここのみ編集可）'!$BM$17:$BM$116,0)),"")</f>
        <v>2:00:283</v>
      </c>
      <c r="J43" s="212" t="str">
        <f t="array" ref="J43">IFERROR(INDEX('計測入力シート（ここのみ編集可）'!$BB$17:$BB$116,MATCH($A43&amp;$B43,'計測入力シート（ここのみ編集可）'!$BM$17:$BM$116,0)),"")</f>
        <v>-</v>
      </c>
      <c r="K43" s="214" t="str">
        <f t="array" ref="K43">IFERROR(INDEX('計測入力シート（ここのみ編集可）'!$BC$17:$BC$116,MATCH($A43&amp;$B43,'計測入力シート（ここのみ編集可）'!$BM$17:$BM$116,0)),"")</f>
        <v>2:00:283</v>
      </c>
      <c r="L43" s="215">
        <f t="array" ref="L43">IFERROR(INDEX('計測入力シート（ここのみ編集可）'!$BD$17:$BD$116,MATCH($A43&amp;$B43,'計測入力シート（ここのみ編集可）'!$BM$17:$BM$116,0)),"")</f>
        <v>1.232332029</v>
      </c>
      <c r="M43" s="215">
        <f t="array" ref="M43">IFERROR(INDEX('計測入力シート（ここのみ編集可）'!$BE$17:$BE$116,MATCH($A43&amp;$B43,'計測入力シート（ここのみ編集可）'!$BM$17:$BM$116,0)),"")</f>
        <v>1.232332029</v>
      </c>
      <c r="N43" s="214">
        <f t="array" ref="N43">IFERROR(INDEX('計測入力シート（ここのみ編集可）'!$BN$17:$BN$116,MATCH($A43&amp;$B43,'計測入力シート（ここのみ編集可）'!$BM$17:$BM$116,0)),"")</f>
        <v>12</v>
      </c>
      <c r="O43" s="214" t="str">
        <f t="array" ref="O43">IFERROR(INDEX('計測入力シート（ここのみ編集可）'!$BP$17:$BP$116,MATCH($A43&amp;$B43,'計測入力シート（ここのみ編集可）'!$BM$17:$BM$116,0)),"")</f>
        <v>-</v>
      </c>
      <c r="P43" s="214" t="str">
        <f t="array" ref="P43">IFERROR(INDEX('計測入力シート（ここのみ編集可）'!$BR$17:$BR$116,MATCH($A43&amp;$B43,'計測入力シート（ここのみ編集可）'!$BM$17:$BM$116,0)),"")</f>
        <v>-</v>
      </c>
      <c r="Q43" s="216">
        <f t="array" ref="Q43">IFERROR(INDEX('計測入力シート（ここのみ編集可）'!$BL$17:$BL$116,MATCH($A43&amp;$B43,'計測入力シート（ここのみ編集可）'!$BM$17:$BM$116,0)),"")</f>
        <v>40</v>
      </c>
    </row>
    <row r="44" ht="22.5" customHeight="1">
      <c r="A44" s="86" t="s">
        <v>85</v>
      </c>
      <c r="B44" s="86">
        <v>40.0</v>
      </c>
      <c r="C44" s="86"/>
      <c r="D44" s="217" t="str">
        <f t="array" ref="D44">IFERROR(INDEX('計測入力シート（ここのみ編集可）'!$B$17:$B$116,MATCH($A44&amp;$B44,'計測入力シート（ここのみ編集可）'!$BM$17:$BM$116,0)),"")</f>
        <v>D</v>
      </c>
      <c r="E44" s="212" t="str">
        <f t="array" ref="E44">IFERROR(INDEX('計測入力シート（ここのみ編集可）'!$D$17:$D$116,MATCH($A44&amp;$B44,'計測入力シート（ここのみ編集可）'!$BM$17:$BM$116,0)),"")</f>
        <v>ニダボちゃん</v>
      </c>
      <c r="F44" s="212" t="str">
        <f t="array" ref="F44">IFERROR(INDEX('計測入力シート（ここのみ編集可）'!$E$17:$E$116,MATCH($A44&amp;$B44,'計測入力シート（ここのみ編集可）'!$BM$17:$BM$116,0)),"")</f>
        <v>CBR250RR</v>
      </c>
      <c r="G44" s="213" t="str">
        <f t="array" ref="G44">IFERROR(INDEX('計測入力シート（ここのみ編集可）'!$AW$17:$AW$116,MATCH($A44&amp;$B44,'計測入力シート（ここのみ編集可）'!$BM$17:$BM$116,0)),"")</f>
        <v>2:03:159</v>
      </c>
      <c r="H44" s="212" t="str">
        <f t="array" ref="H44">IFERROR(INDEX('計測入力シート（ここのみ編集可）'!$AY$17:$AY$116,MATCH($A44&amp;$B44,'計測入力シート（ここのみ編集可）'!$BM$17:$BM$116,0)),"")</f>
        <v>-</v>
      </c>
      <c r="I44" s="214" t="str">
        <f t="array" ref="I44">IFERROR(INDEX('計測入力シート（ここのみ編集可）'!$AZ$17:$AZ$116,MATCH($A44&amp;$B44,'計測入力シート（ここのみ編集可）'!$BM$17:$BM$116,0)),"")</f>
        <v>2:01:746</v>
      </c>
      <c r="J44" s="212">
        <f t="array" ref="J44">IFERROR(INDEX('計測入力シート（ここのみ編集可）'!$BB$17:$BB$116,MATCH($A44&amp;$B44,'計測入力シート（ここのみ編集可）'!$BM$17:$BM$116,0)),"")</f>
        <v>1</v>
      </c>
      <c r="K44" s="214" t="str">
        <f t="array" ref="K44">IFERROR(INDEX('計測入力シート（ここのみ編集可）'!$BC$17:$BC$116,MATCH($A44&amp;$B44,'計測入力シート（ここのみ編集可）'!$BM$17:$BM$116,0)),"")</f>
        <v>2:02:746</v>
      </c>
      <c r="L44" s="215">
        <f t="array" ref="L44">IFERROR(INDEX('計測入力シート（ここのみ編集可）'!$BD$17:$BD$116,MATCH($A44&amp;$B44,'計測入力シート（ここのみ編集可）'!$BM$17:$BM$116,0)),"")</f>
        <v>1.257566133</v>
      </c>
      <c r="M44" s="215">
        <f t="array" ref="M44">IFERROR(INDEX('計測入力シート（ここのみ編集可）'!$BE$17:$BE$116,MATCH($A44&amp;$B44,'計測入力シート（ここのみ編集可）'!$BM$17:$BM$116,0)),"")</f>
        <v>1.257566133</v>
      </c>
      <c r="N44" s="214">
        <f t="array" ref="N44">IFERROR(INDEX('計測入力シート（ここのみ編集可）'!$BN$17:$BN$116,MATCH($A44&amp;$B44,'計測入力シート（ここのみ編集可）'!$BM$17:$BM$116,0)),"")</f>
        <v>13</v>
      </c>
      <c r="O44" s="214">
        <f t="array" ref="O44">IFERROR(INDEX('計測入力シート（ここのみ編集可）'!$BP$17:$BP$116,MATCH($A44&amp;$B44,'計測入力シート（ここのみ編集可）'!$BM$17:$BM$116,0)),"")</f>
        <v>4</v>
      </c>
      <c r="P44" s="214" t="str">
        <f t="array" ref="P44">IFERROR(INDEX('計測入力シート（ここのみ編集可）'!$BR$17:$BR$116,MATCH($A44&amp;$B44,'計測入力シート（ここのみ編集可）'!$BM$17:$BM$116,0)),"")</f>
        <v>-</v>
      </c>
      <c r="Q44" s="216">
        <f t="array" ref="Q44">IFERROR(INDEX('計測入力シート（ここのみ編集可）'!$BL$17:$BL$116,MATCH($A44&amp;$B44,'計測入力シート（ここのみ編集可）'!$BM$17:$BM$116,0)),"")</f>
        <v>43</v>
      </c>
    </row>
    <row r="45" ht="22.5" customHeight="1">
      <c r="A45" s="86" t="s">
        <v>85</v>
      </c>
      <c r="B45" s="86">
        <v>41.0</v>
      </c>
      <c r="C45" s="86"/>
      <c r="D45" s="217" t="str">
        <f t="array" ref="D45">IFERROR(INDEX('計測入力シート（ここのみ編集可）'!$B$17:$B$116,MATCH($A45&amp;$B45,'計測入力シート（ここのみ編集可）'!$BM$17:$BM$116,0)),"")</f>
        <v>R</v>
      </c>
      <c r="E45" s="212" t="str">
        <f t="array" ref="E45">IFERROR(INDEX('計測入力シート（ここのみ編集可）'!$D$17:$D$116,MATCH($A45&amp;$B45,'計測入力シート（ここのみ編集可）'!$BM$17:$BM$116,0)),"")</f>
        <v>ホッシー</v>
      </c>
      <c r="F45" s="212" t="str">
        <f t="array" ref="F45">IFERROR(INDEX('計測入力シート（ここのみ編集可）'!$E$17:$E$116,MATCH($A45&amp;$B45,'計測入力シート（ここのみ編集可）'!$BM$17:$BM$116,0)),"")</f>
        <v>Ninja250</v>
      </c>
      <c r="G45" s="213" t="str">
        <f t="array" ref="G45">IFERROR(INDEX('計測入力シート（ここのみ編集可）'!$AW$17:$AW$116,MATCH($A45&amp;$B45,'計測入力シート（ここのみ編集可）'!$BM$17:$BM$116,0)),"")</f>
        <v>2:00:341</v>
      </c>
      <c r="H45" s="212">
        <f t="array" ref="H45">IFERROR(INDEX('計測入力シート（ここのみ編集可）'!$AY$17:$AY$116,MATCH($A45&amp;$B45,'計測入力シート（ここのみ編集可）'!$BM$17:$BM$116,0)),"")</f>
        <v>1</v>
      </c>
      <c r="I45" s="214" t="str">
        <f t="array" ref="I45">IFERROR(INDEX('計測入力シート（ここのみ編集可）'!$AZ$17:$AZ$116,MATCH($A45&amp;$B45,'計測入力シート（ここのみ編集可）'!$BM$17:$BM$116,0)),"")</f>
        <v>1:57:711</v>
      </c>
      <c r="J45" s="212" t="str">
        <f t="array" ref="J45">IFERROR(INDEX('計測入力シート（ここのみ編集可）'!$BB$17:$BB$116,MATCH($A45&amp;$B45,'計測入力シート（ここのみ編集可）'!$BM$17:$BM$116,0)),"")</f>
        <v>-</v>
      </c>
      <c r="K45" s="214" t="str">
        <f t="array" ref="K45">IFERROR(INDEX('計測入力シート（ここのみ編集可）'!$BC$17:$BC$116,MATCH($A45&amp;$B45,'計測入力シート（ここのみ編集可）'!$BM$17:$BM$116,0)),"")</f>
        <v>1:57:711</v>
      </c>
      <c r="L45" s="215">
        <f t="array" ref="L45">IFERROR(INDEX('計測入力シート（ここのみ編集可）'!$BD$17:$BD$116,MATCH($A45&amp;$B45,'計測入力シート（ここのみ編集可）'!$BM$17:$BM$116,0)),"")</f>
        <v>1.20598119</v>
      </c>
      <c r="M45" s="215">
        <f t="array" ref="M45">IFERROR(INDEX('計測入力シート（ここのみ編集可）'!$BE$17:$BE$116,MATCH($A45&amp;$B45,'計測入力シート（ここのみ編集可）'!$BM$17:$BM$116,0)),"")</f>
        <v>1.20598119</v>
      </c>
      <c r="N45" s="214">
        <f t="array" ref="N45">IFERROR(INDEX('計測入力シート（ここのみ編集可）'!$BN$17:$BN$116,MATCH($A45&amp;$B45,'計測入力シート（ここのみ編集可）'!$BM$17:$BM$116,0)),"")</f>
        <v>1</v>
      </c>
      <c r="O45" s="214">
        <f t="array" ref="O45">IFERROR(INDEX('計測入力シート（ここのみ編集可）'!$BP$17:$BP$116,MATCH($A45&amp;$B45,'計測入力シート（ここのみ編集可）'!$BM$17:$BM$116,0)),"")</f>
        <v>3</v>
      </c>
      <c r="P45" s="214" t="str">
        <f t="array" ref="P45">IFERROR(INDEX('計測入力シート（ここのみ編集可）'!$BR$17:$BR$116,MATCH($A45&amp;$B45,'計測入力シート（ここのみ編集可）'!$BM$17:$BM$116,0)),"")</f>
        <v>-</v>
      </c>
      <c r="Q45" s="216">
        <f t="array" ref="Q45">IFERROR(INDEX('計測入力シート（ここのみ編集可）'!$BL$17:$BL$116,MATCH($A45&amp;$B45,'計測入力シート（ここのみ編集可）'!$BM$17:$BM$116,0)),"")</f>
        <v>34</v>
      </c>
    </row>
    <row r="46" ht="22.5" customHeight="1">
      <c r="A46" s="86" t="s">
        <v>85</v>
      </c>
      <c r="B46" s="86">
        <v>42.0</v>
      </c>
      <c r="C46" s="86"/>
      <c r="D46" s="217" t="str">
        <f t="array" ref="D46">IFERROR(INDEX('計測入力シート（ここのみ編集可）'!$B$17:$B$116,MATCH($A46&amp;$B46,'計測入力シート（ここのみ編集可）'!$BM$17:$BM$116,0)),"")</f>
        <v>R</v>
      </c>
      <c r="E46" s="212" t="str">
        <f t="array" ref="E46">IFERROR(INDEX('計測入力シート（ここのみ編集可）'!$D$17:$D$116,MATCH($A46&amp;$B46,'計測入力シート（ここのみ編集可）'!$BM$17:$BM$116,0)),"")</f>
        <v>nagai7111</v>
      </c>
      <c r="F46" s="212" t="str">
        <f t="array" ref="F46">IFERROR(INDEX('計測入力シート（ここのみ編集可）'!$E$17:$E$116,MATCH($A46&amp;$B46,'計測入力シート（ここのみ編集可）'!$BM$17:$BM$116,0)),"")</f>
        <v>VTR</v>
      </c>
      <c r="G46" s="213" t="str">
        <f t="array" ref="G46">IFERROR(INDEX('計測入力シート（ここのみ編集可）'!$AW$17:$AW$116,MATCH($A46&amp;$B46,'計測入力シート（ここのみ編集可）'!$BM$17:$BM$116,0)),"")</f>
        <v>2:00:606</v>
      </c>
      <c r="H46" s="212" t="str">
        <f t="array" ref="H46">IFERROR(INDEX('計測入力シート（ここのみ編集可）'!$AY$17:$AY$116,MATCH($A46&amp;$B46,'計測入力シート（ここのみ編集可）'!$BM$17:$BM$116,0)),"")</f>
        <v>-</v>
      </c>
      <c r="I46" s="214" t="str">
        <f t="array" ref="I46">IFERROR(INDEX('計測入力シート（ここのみ編集可）'!$AZ$17:$AZ$116,MATCH($A46&amp;$B46,'計測入力シート（ここのみ編集可）'!$BM$17:$BM$116,0)),"")</f>
        <v>1:58:070</v>
      </c>
      <c r="J46" s="212" t="str">
        <f t="array" ref="J46">IFERROR(INDEX('計測入力シート（ここのみ編集可）'!$BB$17:$BB$116,MATCH($A46&amp;$B46,'計測入力シート（ここのみ編集可）'!$BM$17:$BM$116,0)),"")</f>
        <v>-</v>
      </c>
      <c r="K46" s="214" t="str">
        <f t="array" ref="K46">IFERROR(INDEX('計測入力シート（ここのみ編集可）'!$BC$17:$BC$116,MATCH($A46&amp;$B46,'計測入力シート（ここのみ編集可）'!$BM$17:$BM$116,0)),"")</f>
        <v>1:58:070</v>
      </c>
      <c r="L46" s="215">
        <f t="array" ref="L46">IFERROR(INDEX('計測入力シート（ここのみ編集可）'!$BD$17:$BD$116,MATCH($A46&amp;$B46,'計測入力シート（ここのみ編集可）'!$BM$17:$BM$116,0)),"")</f>
        <v>1.209659242</v>
      </c>
      <c r="M46" s="215">
        <f t="array" ref="M46">IFERROR(INDEX('計測入力シート（ここのみ編集可）'!$BE$17:$BE$116,MATCH($A46&amp;$B46,'計測入力シート（ここのみ編集可）'!$BM$17:$BM$116,0)),"")</f>
        <v>1.209659242</v>
      </c>
      <c r="N46" s="214">
        <f t="array" ref="N46">IFERROR(INDEX('計測入力シート（ここのみ編集可）'!$BN$17:$BN$116,MATCH($A46&amp;$B46,'計測入力シート（ここのみ編集可）'!$BM$17:$BM$116,0)),"")</f>
        <v>2</v>
      </c>
      <c r="O46" s="214" t="str">
        <f t="array" ref="O46">IFERROR(INDEX('計測入力シート（ここのみ編集可）'!$BP$17:$BP$116,MATCH($A46&amp;$B46,'計測入力シート（ここのみ編集可）'!$BM$17:$BM$116,0)),"")</f>
        <v>-</v>
      </c>
      <c r="P46" s="214" t="str">
        <f t="array" ref="P46">IFERROR(INDEX('計測入力シート（ここのみ編集可）'!$BR$17:$BR$116,MATCH($A46&amp;$B46,'計測入力シート（ここのみ編集可）'!$BM$17:$BM$116,0)),"")</f>
        <v>-</v>
      </c>
      <c r="Q46" s="216">
        <f t="array" ref="Q46">IFERROR(INDEX('計測入力シート（ここのみ編集可）'!$BL$17:$BL$116,MATCH($A46&amp;$B46,'計測入力シート（ここのみ編集可）'!$BM$17:$BM$116,0)),"")</f>
        <v>37</v>
      </c>
    </row>
    <row r="47" ht="22.5" customHeight="1">
      <c r="A47" s="86" t="s">
        <v>85</v>
      </c>
      <c r="B47" s="86">
        <v>43.0</v>
      </c>
      <c r="C47" s="86"/>
      <c r="D47" s="217" t="str">
        <f t="array" ref="D47">IFERROR(INDEX('計測入力シート（ここのみ編集可）'!$B$17:$B$116,MATCH($A47&amp;$B47,'計測入力シート（ここのみ編集可）'!$BM$17:$BM$116,0)),"")</f>
        <v>R</v>
      </c>
      <c r="E47" s="212" t="str">
        <f t="array" ref="E47">IFERROR(INDEX('計測入力シート（ここのみ編集可）'!$D$17:$D$116,MATCH($A47&amp;$B47,'計測入力シート（ここのみ編集可）'!$BM$17:$BM$116,0)),"")</f>
        <v>にんじゃ</v>
      </c>
      <c r="F47" s="212" t="str">
        <f t="array" ref="F47">IFERROR(INDEX('計測入力シート（ここのみ編集可）'!$E$17:$E$116,MATCH($A47&amp;$B47,'計測入力シート（ここのみ編集可）'!$BM$17:$BM$116,0)),"")</f>
        <v>GROM</v>
      </c>
      <c r="G47" s="213" t="str">
        <f t="array" ref="G47">IFERROR(INDEX('計測入力シート（ここのみ編集可）'!$AW$17:$AW$116,MATCH($A47&amp;$B47,'計測入力シート（ここのみ編集可）'!$BM$17:$BM$116,0)),"")</f>
        <v>2:06:466</v>
      </c>
      <c r="H47" s="212" t="str">
        <f t="array" ref="H47">IFERROR(INDEX('計測入力シート（ここのみ編集可）'!$AY$17:$AY$116,MATCH($A47&amp;$B47,'計測入力シート（ここのみ編集可）'!$BM$17:$BM$116,0)),"")</f>
        <v>-</v>
      </c>
      <c r="I47" s="214" t="str">
        <f t="array" ref="I47">IFERROR(INDEX('計測入力シート（ここのみ編集可）'!$AZ$17:$AZ$116,MATCH($A47&amp;$B47,'計測入力シート（ここのみ編集可）'!$BM$17:$BM$116,0)),"")</f>
        <v>2:05:058</v>
      </c>
      <c r="J47" s="212" t="str">
        <f t="array" ref="J47">IFERROR(INDEX('計測入力シート（ここのみ編集可）'!$BB$17:$BB$116,MATCH($A47&amp;$B47,'計測入力シート（ここのみ編集可）'!$BM$17:$BM$116,0)),"")</f>
        <v>-</v>
      </c>
      <c r="K47" s="214" t="str">
        <f t="array" ref="K47">IFERROR(INDEX('計測入力シート（ここのみ編集可）'!$BC$17:$BC$116,MATCH($A47&amp;$B47,'計測入力シート（ここのみ編集可）'!$BM$17:$BM$116,0)),"")</f>
        <v>2:05:058</v>
      </c>
      <c r="L47" s="215">
        <f t="array" ref="L47">IFERROR(INDEX('計測入力シート（ここのみ編集可）'!$BD$17:$BD$116,MATCH($A47&amp;$B47,'計測入力シート（ここのみ編集可）'!$BM$17:$BM$116,0)),"")</f>
        <v>1.281253202</v>
      </c>
      <c r="M47" s="215">
        <f t="array" ref="M47">IFERROR(INDEX('計測入力シート（ここのみ編集可）'!$BE$17:$BE$116,MATCH($A47&amp;$B47,'計測入力シート（ここのみ編集可）'!$BM$17:$BM$116,0)),"")</f>
        <v>1.281253202</v>
      </c>
      <c r="N47" s="214">
        <f t="array" ref="N47">IFERROR(INDEX('計測入力シート（ここのみ編集可）'!$BN$17:$BN$116,MATCH($A47&amp;$B47,'計測入力シート（ここのみ編集可）'!$BM$17:$BM$116,0)),"")</f>
        <v>3</v>
      </c>
      <c r="O47" s="214" t="str">
        <f t="array" ref="O47">IFERROR(INDEX('計測入力シート（ここのみ編集可）'!$BP$17:$BP$116,MATCH($A47&amp;$B47,'計測入力シート（ここのみ編集可）'!$BM$17:$BM$116,0)),"")</f>
        <v>-</v>
      </c>
      <c r="P47" s="214">
        <f t="array" ref="P47">IFERROR(INDEX('計測入力シート（ここのみ編集可）'!$BR$17:$BR$116,MATCH($A47&amp;$B47,'計測入力シート（ここのみ編集可）'!$BM$17:$BM$116,0)),"")</f>
        <v>3</v>
      </c>
      <c r="Q47" s="216">
        <f t="array" ref="Q47">IFERROR(INDEX('計測入力シート（ここのみ編集可）'!$BL$17:$BL$116,MATCH($A47&amp;$B47,'計測入力シート（ここのみ編集可）'!$BM$17:$BM$116,0)),"")</f>
        <v>44</v>
      </c>
    </row>
    <row r="48" ht="22.5" customHeight="1">
      <c r="A48" s="86" t="s">
        <v>85</v>
      </c>
      <c r="B48" s="86">
        <v>44.0</v>
      </c>
      <c r="C48" s="86"/>
      <c r="D48" s="217" t="str">
        <f t="array" ref="D48">IFERROR(INDEX('計測入力シート（ここのみ編集可）'!$B$17:$B$116,MATCH($A48&amp;$B48,'計測入力シート（ここのみ編集可）'!$BM$17:$BM$116,0)),"")</f>
        <v>N</v>
      </c>
      <c r="E48" s="212" t="str">
        <f t="array" ref="E48">IFERROR(INDEX('計測入力シート（ここのみ編集可）'!$D$17:$D$116,MATCH($A48&amp;$B48,'計測入力シート（ここのみ編集可）'!$BM$17:$BM$116,0)),"")</f>
        <v>はるか</v>
      </c>
      <c r="F48" s="212" t="str">
        <f t="array" ref="F48">IFERROR(INDEX('計測入力シート（ここのみ編集可）'!$E$17:$E$116,MATCH($A48&amp;$B48,'計測入力シート（ここのみ編集可）'!$BM$17:$BM$116,0)),"")</f>
        <v>GROM</v>
      </c>
      <c r="G48" s="213" t="str">
        <f t="array" ref="G48">IFERROR(INDEX('計測入力シート（ここのみ編集可）'!$AW$17:$AW$116,MATCH($A48&amp;$B48,'計測入力シート（ここのみ編集可）'!$BM$17:$BM$116,0)),"")</f>
        <v>1:52:831</v>
      </c>
      <c r="H48" s="212" t="str">
        <f t="array" ref="H48">IFERROR(INDEX('計測入力シート（ここのみ編集可）'!$AY$17:$AY$116,MATCH($A48&amp;$B48,'計測入力シート（ここのみ編集可）'!$BM$17:$BM$116,0)),"")</f>
        <v>-</v>
      </c>
      <c r="I48" s="214" t="str">
        <f t="array" ref="I48">IFERROR(INDEX('計測入力シート（ここのみ編集可）'!$AZ$17:$AZ$116,MATCH($A48&amp;$B48,'計測入力シート（ここのみ編集可）'!$BM$17:$BM$116,0)),"")</f>
        <v>9:99:999</v>
      </c>
      <c r="J48" s="212" t="str">
        <f t="array" ref="J48">IFERROR(INDEX('計測入力シート（ここのみ編集可）'!$BB$17:$BB$116,MATCH($A48&amp;$B48,'計測入力シート（ここのみ編集可）'!$BM$17:$BM$116,0)),"")</f>
        <v>MC</v>
      </c>
      <c r="K48" s="214" t="str">
        <f t="array" ref="K48">IFERROR(INDEX('計測入力シート（ここのみ編集可）'!$BC$17:$BC$116,MATCH($A48&amp;$B48,'計測入力シート（ここのみ編集可）'!$BM$17:$BM$116,0)),"")</f>
        <v>1:52:831</v>
      </c>
      <c r="L48" s="215">
        <f t="array" ref="L48">IFERROR(INDEX('計測入力シート（ここのみ編集可）'!$BD$17:$BD$116,MATCH($A48&amp;$B48,'計測入力シート（ここのみ編集可）'!$BM$17:$BM$116,0)),"")</f>
        <v>1.155984263</v>
      </c>
      <c r="M48" s="215">
        <f t="array" ref="M48">IFERROR(INDEX('計測入力シート（ここのみ編集可）'!$BE$17:$BE$116,MATCH($A48&amp;$B48,'計測入力シート（ここのみ編集可）'!$BM$17:$BM$116,0)),"")</f>
        <v>1.155984263</v>
      </c>
      <c r="N48" s="214">
        <f t="array" ref="N48">IFERROR(INDEX('計測入力シート（ここのみ編集可）'!$BN$17:$BN$116,MATCH($A48&amp;$B48,'計測入力シート（ここのみ編集可）'!$BM$17:$BM$116,0)),"")</f>
        <v>1</v>
      </c>
      <c r="O48" s="214" t="str">
        <f t="array" ref="O48">IFERROR(INDEX('計測入力シート（ここのみ編集可）'!$BP$17:$BP$116,MATCH($A48&amp;$B48,'計測入力シート（ここのみ編集可）'!$BM$17:$BM$116,0)),"")</f>
        <v>-</v>
      </c>
      <c r="P48" s="214">
        <f t="array" ref="P48">IFERROR(INDEX('計測入力シート（ここのみ編集可）'!$BR$17:$BR$116,MATCH($A48&amp;$B48,'計測入力シート（ここのみ編集可）'!$BM$17:$BM$116,0)),"")</f>
        <v>1</v>
      </c>
      <c r="Q48" s="216">
        <f t="array" ref="Q48">IFERROR(INDEX('計測入力シート（ここのみ編集可）'!$BL$17:$BL$116,MATCH($A48&amp;$B48,'計測入力シート（ここのみ編集可）'!$BM$17:$BM$116,0)),"")</f>
        <v>27</v>
      </c>
    </row>
    <row r="49" ht="22.5" customHeight="1">
      <c r="A49" s="86" t="s">
        <v>85</v>
      </c>
      <c r="B49" s="86">
        <v>45.0</v>
      </c>
      <c r="C49" s="86"/>
      <c r="D49" s="217" t="str">
        <f t="array" ref="D49">IFERROR(INDEX('計測入力シート（ここのみ編集可）'!$B$17:$B$116,MATCH($A49&amp;$B49,'計測入力シート（ここのみ編集可）'!$BM$17:$BM$116,0)),"")</f>
        <v>N</v>
      </c>
      <c r="E49" s="212" t="str">
        <f t="array" ref="E49">IFERROR(INDEX('計測入力シート（ここのみ編集可）'!$D$17:$D$116,MATCH($A49&amp;$B49,'計測入力シート（ここのみ編集可）'!$BM$17:$BM$116,0)),"")</f>
        <v>S hin</v>
      </c>
      <c r="F49" s="212" t="str">
        <f t="array" ref="F49">IFERROR(INDEX('計測入力シート（ここのみ編集可）'!$E$17:$E$116,MATCH($A49&amp;$B49,'計測入力シート（ここのみ編集可）'!$BM$17:$BM$116,0)),"")</f>
        <v>GROM</v>
      </c>
      <c r="G49" s="213" t="str">
        <f t="array" ref="G49">IFERROR(INDEX('計測入力シート（ここのみ編集可）'!$AW$17:$AW$116,MATCH($A49&amp;$B49,'計測入力シート（ここのみ編集可）'!$BM$17:$BM$116,0)),"")</f>
        <v>1:58:934</v>
      </c>
      <c r="H49" s="212" t="str">
        <f t="array" ref="H49">IFERROR(INDEX('計測入力シート（ここのみ編集可）'!$AY$17:$AY$116,MATCH($A49&amp;$B49,'計測入力シート（ここのみ編集可）'!$BM$17:$BM$116,0)),"")</f>
        <v>-</v>
      </c>
      <c r="I49" s="214" t="str">
        <f t="array" ref="I49">IFERROR(INDEX('計測入力シート（ここのみ編集可）'!$AZ$17:$AZ$116,MATCH($A49&amp;$B49,'計測入力シート（ここのみ編集可）'!$BM$17:$BM$116,0)),"")</f>
        <v>1:55:826</v>
      </c>
      <c r="J49" s="212">
        <f t="array" ref="J49">IFERROR(INDEX('計測入力シート（ここのみ編集可）'!$BB$17:$BB$116,MATCH($A49&amp;$B49,'計測入力シート（ここのみ編集可）'!$BM$17:$BM$116,0)),"")</f>
        <v>1</v>
      </c>
      <c r="K49" s="214" t="str">
        <f t="array" ref="K49">IFERROR(INDEX('計測入力シート（ここのみ編集可）'!$BC$17:$BC$116,MATCH($A49&amp;$B49,'計測入力シート（ここのみ編集可）'!$BM$17:$BM$116,0)),"")</f>
        <v>1:56:826</v>
      </c>
      <c r="L49" s="215">
        <f t="array" ref="L49">IFERROR(INDEX('計測入力シート（ここのみ編集可）'!$BD$17:$BD$116,MATCH($A49&amp;$B49,'計測入力シート（ここのみ編集可）'!$BM$17:$BM$116,0)),"")</f>
        <v>1.196914124</v>
      </c>
      <c r="M49" s="215">
        <f t="array" ref="M49">IFERROR(INDEX('計測入力シート（ここのみ編集可）'!$BE$17:$BE$116,MATCH($A49&amp;$B49,'計測入力シート（ここのみ編集可）'!$BM$17:$BM$116,0)),"")</f>
        <v>1.196914124</v>
      </c>
      <c r="N49" s="214">
        <f t="array" ref="N49">IFERROR(INDEX('計測入力シート（ここのみ編集可）'!$BN$17:$BN$116,MATCH($A49&amp;$B49,'計測入力シート（ここのみ編集可）'!$BM$17:$BM$116,0)),"")</f>
        <v>2</v>
      </c>
      <c r="O49" s="214" t="str">
        <f t="array" ref="O49">IFERROR(INDEX('計測入力シート（ここのみ編集可）'!$BP$17:$BP$116,MATCH($A49&amp;$B49,'計測入力シート（ここのみ編集可）'!$BM$17:$BM$116,0)),"")</f>
        <v>-</v>
      </c>
      <c r="P49" s="214">
        <f t="array" ref="P49">IFERROR(INDEX('計測入力シート（ここのみ編集可）'!$BR$17:$BR$116,MATCH($A49&amp;$B49,'計測入力シート（ここのみ編集可）'!$BM$17:$BM$116,0)),"")</f>
        <v>2</v>
      </c>
      <c r="Q49" s="216">
        <f t="array" ref="Q49">IFERROR(INDEX('計測入力シート（ここのみ編集可）'!$BL$17:$BL$116,MATCH($A49&amp;$B49,'計測入力シート（ここのみ編集可）'!$BM$17:$BM$116,0)),"")</f>
        <v>32</v>
      </c>
    </row>
    <row r="50" ht="22.5" customHeight="1">
      <c r="A50" s="86" t="s">
        <v>85</v>
      </c>
      <c r="B50" s="86">
        <v>46.0</v>
      </c>
      <c r="C50" s="86"/>
      <c r="D50" s="217" t="str">
        <f t="array" ref="D50">IFERROR(INDEX('計測入力シート（ここのみ編集可）'!$B$17:$B$116,MATCH($A50&amp;$B50,'計測入力シート（ここのみ編集可）'!$BM$17:$BM$116,0)),"")</f>
        <v>N</v>
      </c>
      <c r="E50" s="212" t="str">
        <f t="array" ref="E50">IFERROR(INDEX('計測入力シート（ここのみ編集可）'!$D$17:$D$116,MATCH($A50&amp;$B50,'計測入力シート（ここのみ編集可）'!$BM$17:$BM$116,0)),"")</f>
        <v>みつい</v>
      </c>
      <c r="F50" s="212" t="str">
        <f t="array" ref="F50">IFERROR(INDEX('計測入力シート（ここのみ編集可）'!$E$17:$E$116,MATCH($A50&amp;$B50,'計測入力シート（ここのみ編集可）'!$BM$17:$BM$116,0)),"")</f>
        <v>GSX250R</v>
      </c>
      <c r="G50" s="213" t="str">
        <f t="array" ref="G50">IFERROR(INDEX('計測入力シート（ここのみ編集可）'!$AW$17:$AW$116,MATCH($A50&amp;$B50,'計測入力シート（ここのみ編集可）'!$BM$17:$BM$116,0)),"")</f>
        <v>1:57:304</v>
      </c>
      <c r="H50" s="212" t="str">
        <f t="array" ref="H50">IFERROR(INDEX('計測入力シート（ここのみ編集可）'!$AY$17:$AY$116,MATCH($A50&amp;$B50,'計測入力シート（ここのみ編集可）'!$BM$17:$BM$116,0)),"")</f>
        <v>-</v>
      </c>
      <c r="I50" s="214" t="str">
        <f t="array" ref="I50">IFERROR(INDEX('計測入力シート（ここのみ編集可）'!$AZ$17:$AZ$116,MATCH($A50&amp;$B50,'計測入力シート（ここのみ編集可）'!$BM$17:$BM$116,0)),"")</f>
        <v>1:57:244</v>
      </c>
      <c r="J50" s="212">
        <f t="array" ref="J50">IFERROR(INDEX('計測入力シート（ここのみ編集可）'!$BB$17:$BB$116,MATCH($A50&amp;$B50,'計測入力シート（ここのみ編集可）'!$BM$17:$BM$116,0)),"")</f>
        <v>1</v>
      </c>
      <c r="K50" s="214" t="str">
        <f t="array" ref="K50">IFERROR(INDEX('計測入力シート（ここのみ編集可）'!$BC$17:$BC$116,MATCH($A50&amp;$B50,'計測入力シート（ここのみ編集可）'!$BM$17:$BM$116,0)),"")</f>
        <v>1:57:304</v>
      </c>
      <c r="L50" s="215">
        <f t="array" ref="L50">IFERROR(INDEX('計測入力シート（ここのみ編集可）'!$BD$17:$BD$116,MATCH($A50&amp;$B50,'計測入力シート（ここのみ編集可）'!$BM$17:$BM$116,0)),"")</f>
        <v>1.201811364</v>
      </c>
      <c r="M50" s="215">
        <f t="array" ref="M50">IFERROR(INDEX('計測入力シート（ここのみ編集可）'!$BE$17:$BE$116,MATCH($A50&amp;$B50,'計測入力シート（ここのみ編集可）'!$BM$17:$BM$116,0)),"")</f>
        <v>1.201811364</v>
      </c>
      <c r="N50" s="214">
        <f t="array" ref="N50">IFERROR(INDEX('計測入力シート（ここのみ編集可）'!$BN$17:$BN$116,MATCH($A50&amp;$B50,'計測入力シート（ここのみ編集可）'!$BM$17:$BM$116,0)),"")</f>
        <v>3</v>
      </c>
      <c r="O50" s="214" t="str">
        <f t="array" ref="O50">IFERROR(INDEX('計測入力シート（ここのみ編集可）'!$BP$17:$BP$116,MATCH($A50&amp;$B50,'計測入力シート（ここのみ編集可）'!$BM$17:$BM$116,0)),"")</f>
        <v>-</v>
      </c>
      <c r="P50" s="214" t="str">
        <f t="array" ref="P50">IFERROR(INDEX('計測入力シート（ここのみ編集可）'!$BR$17:$BR$116,MATCH($A50&amp;$B50,'計測入力シート（ここのみ編集可）'!$BM$17:$BM$116,0)),"")</f>
        <v>-</v>
      </c>
      <c r="Q50" s="216">
        <f t="array" ref="Q50">IFERROR(INDEX('計測入力シート（ここのみ編集可）'!$BL$17:$BL$116,MATCH($A50&amp;$B50,'計測入力シート（ここのみ編集可）'!$BM$17:$BM$116,0)),"")</f>
        <v>33</v>
      </c>
    </row>
    <row r="51" ht="22.5" customHeight="1">
      <c r="A51" s="86" t="s">
        <v>85</v>
      </c>
      <c r="B51" s="86">
        <v>47.0</v>
      </c>
      <c r="C51" s="86"/>
      <c r="D51" s="217" t="str">
        <f t="array" ref="D51">IFERROR(INDEX('計測入力シート（ここのみ編集可）'!$B$17:$B$116,MATCH($A51&amp;$B51,'計測入力シート（ここのみ編集可）'!$BM$17:$BM$116,0)),"")</f>
        <v>N</v>
      </c>
      <c r="E51" s="212" t="str">
        <f t="array" ref="E51">IFERROR(INDEX('計測入力シート（ここのみ編集可）'!$D$17:$D$116,MATCH($A51&amp;$B51,'計測入力シート（ここのみ編集可）'!$BM$17:$BM$116,0)),"")</f>
        <v>まる</v>
      </c>
      <c r="F51" s="212" t="str">
        <f t="array" ref="F51">IFERROR(INDEX('計測入力シート（ここのみ編集可）'!$E$17:$E$116,MATCH($A51&amp;$B51,'計測入力シート（ここのみ編集可）'!$BM$17:$BM$116,0)),"")</f>
        <v>MT-09</v>
      </c>
      <c r="G51" s="213" t="str">
        <f t="array" ref="G51">IFERROR(INDEX('計測入力シート（ここのみ編集可）'!$AW$17:$AW$116,MATCH($A51&amp;$B51,'計測入力シート（ここのみ編集可）'!$BM$17:$BM$116,0)),"")</f>
        <v>2:03:425</v>
      </c>
      <c r="H51" s="212" t="str">
        <f t="array" ref="H51">IFERROR(INDEX('計測入力シート（ここのみ編集可）'!$AY$17:$AY$116,MATCH($A51&amp;$B51,'計測入力シート（ここのみ編集可）'!$BM$17:$BM$116,0)),"")</f>
        <v>-</v>
      </c>
      <c r="I51" s="214" t="str">
        <f t="array" ref="I51">IFERROR(INDEX('計測入力シート（ここのみ編集可）'!$AZ$17:$AZ$116,MATCH($A51&amp;$B51,'計測入力シート（ここのみ編集可）'!$BM$17:$BM$116,0)),"")</f>
        <v>2:00:176</v>
      </c>
      <c r="J51" s="212" t="str">
        <f t="array" ref="J51">IFERROR(INDEX('計測入力シート（ここのみ編集可）'!$BB$17:$BB$116,MATCH($A51&amp;$B51,'計測入力シート（ここのみ編集可）'!$BM$17:$BM$116,0)),"")</f>
        <v>-</v>
      </c>
      <c r="K51" s="214" t="str">
        <f t="array" ref="K51">IFERROR(INDEX('計測入力シート（ここのみ編集可）'!$BC$17:$BC$116,MATCH($A51&amp;$B51,'計測入力シート（ここのみ編集可）'!$BM$17:$BM$116,0)),"")</f>
        <v>2:00:176</v>
      </c>
      <c r="L51" s="215">
        <f t="array" ref="L51">IFERROR(INDEX('計測入力シート（ここのみ編集可）'!$BD$17:$BD$116,MATCH($A51&amp;$B51,'計測入力シート（ここのみ編集可）'!$BM$17:$BM$116,0)),"")</f>
        <v>1.231235785</v>
      </c>
      <c r="M51" s="215">
        <f t="array" ref="M51">IFERROR(INDEX('計測入力シート（ここのみ編集可）'!$BE$17:$BE$116,MATCH($A51&amp;$B51,'計測入力シート（ここのみ編集可）'!$BM$17:$BM$116,0)),"")</f>
        <v>1.231235785</v>
      </c>
      <c r="N51" s="214">
        <f t="array" ref="N51">IFERROR(INDEX('計測入力シート（ここのみ編集可）'!$BN$17:$BN$116,MATCH($A51&amp;$B51,'計測入力シート（ここのみ編集可）'!$BM$17:$BM$116,0)),"")</f>
        <v>4</v>
      </c>
      <c r="O51" s="214" t="str">
        <f t="array" ref="O51">IFERROR(INDEX('計測入力シート（ここのみ編集可）'!$BP$17:$BP$116,MATCH($A51&amp;$B51,'計測入力シート（ここのみ編集可）'!$BM$17:$BM$116,0)),"")</f>
        <v>-</v>
      </c>
      <c r="P51" s="214" t="str">
        <f t="array" ref="P51">IFERROR(INDEX('計測入力シート（ここのみ編集可）'!$BR$17:$BR$116,MATCH($A51&amp;$B51,'計測入力シート（ここのみ編集可）'!$BM$17:$BM$116,0)),"")</f>
        <v>-</v>
      </c>
      <c r="Q51" s="216">
        <f t="array" ref="Q51">IFERROR(INDEX('計測入力シート（ここのみ編集可）'!$BL$17:$BL$116,MATCH($A51&amp;$B51,'計測入力シート（ここのみ編集可）'!$BM$17:$BM$116,0)),"")</f>
        <v>39</v>
      </c>
    </row>
    <row r="52" ht="22.5" customHeight="1">
      <c r="A52" s="86" t="s">
        <v>85</v>
      </c>
      <c r="B52" s="86">
        <v>48.0</v>
      </c>
      <c r="C52" s="86"/>
      <c r="D52" s="217" t="str">
        <f t="array" ref="D52">IFERROR(INDEX('計測入力シート（ここのみ編集可）'!$B$17:$B$116,MATCH($A52&amp;$B52,'計測入力シート（ここのみ編集可）'!$BM$17:$BM$116,0)),"")</f>
        <v>N</v>
      </c>
      <c r="E52" s="212" t="str">
        <f t="array" ref="E52">IFERROR(INDEX('計測入力シート（ここのみ編集可）'!$D$17:$D$116,MATCH($A52&amp;$B52,'計測入力シート（ここのみ編集可）'!$BM$17:$BM$116,0)),"")</f>
        <v>オカピー</v>
      </c>
      <c r="F52" s="212" t="str">
        <f t="array" ref="F52">IFERROR(INDEX('計測入力シート（ここのみ編集可）'!$E$17:$E$116,MATCH($A52&amp;$B52,'計測入力シート（ここのみ編集可）'!$BM$17:$BM$116,0)),"")</f>
        <v>VTR</v>
      </c>
      <c r="G52" s="213" t="str">
        <f t="array" ref="G52">IFERROR(INDEX('計測入力シート（ここのみ編集可）'!$AW$17:$AW$116,MATCH($A52&amp;$B52,'計測入力シート（ここのみ編集可）'!$BM$17:$BM$116,0)),"")</f>
        <v>2:05:240</v>
      </c>
      <c r="H52" s="212" t="str">
        <f t="array" ref="H52">IFERROR(INDEX('計測入力シート（ここのみ編集可）'!$AY$17:$AY$116,MATCH($A52&amp;$B52,'計測入力シート（ここのみ編集可）'!$BM$17:$BM$116,0)),"")</f>
        <v>-</v>
      </c>
      <c r="I52" s="214" t="str">
        <f t="array" ref="I52">IFERROR(INDEX('計測入力シート（ここのみ編集可）'!$AZ$17:$AZ$116,MATCH($A52&amp;$B52,'計測入力シート（ここのみ編集可）'!$BM$17:$BM$116,0)),"")</f>
        <v>2:01:614</v>
      </c>
      <c r="J52" s="212">
        <f t="array" ref="J52">IFERROR(INDEX('計測入力シート（ここのみ編集可）'!$BB$17:$BB$116,MATCH($A52&amp;$B52,'計測入力シート（ここのみ編集可）'!$BM$17:$BM$116,0)),"")</f>
        <v>1</v>
      </c>
      <c r="K52" s="214" t="str">
        <f t="array" ref="K52">IFERROR(INDEX('計測入力シート（ここのみ編集可）'!$BC$17:$BC$116,MATCH($A52&amp;$B52,'計測入力シート（ここのみ編集可）'!$BM$17:$BM$116,0)),"")</f>
        <v>2:02:614</v>
      </c>
      <c r="L52" s="215">
        <f t="array" ref="L52">IFERROR(INDEX('計測入力シート（ここのみ編集可）'!$BD$17:$BD$116,MATCH($A52&amp;$B52,'計測入力シート（ここのみ編集可）'!$BM$17:$BM$116,0)),"")</f>
        <v>1.256213757</v>
      </c>
      <c r="M52" s="215">
        <f t="array" ref="M52">IFERROR(INDEX('計測入力シート（ここのみ編集可）'!$BE$17:$BE$116,MATCH($A52&amp;$B52,'計測入力シート（ここのみ編集可）'!$BM$17:$BM$116,0)),"")</f>
        <v>1.256213757</v>
      </c>
      <c r="N52" s="214">
        <f t="array" ref="N52">IFERROR(INDEX('計測入力シート（ここのみ編集可）'!$BN$17:$BN$116,MATCH($A52&amp;$B52,'計測入力シート（ここのみ編集可）'!$BM$17:$BM$116,0)),"")</f>
        <v>5</v>
      </c>
      <c r="O52" s="214" t="str">
        <f t="array" ref="O52">IFERROR(INDEX('計測入力シート（ここのみ編集可）'!$BP$17:$BP$116,MATCH($A52&amp;$B52,'計測入力シート（ここのみ編集可）'!$BM$17:$BM$116,0)),"")</f>
        <v>-</v>
      </c>
      <c r="P52" s="214" t="str">
        <f t="array" ref="P52">IFERROR(INDEX('計測入力シート（ここのみ編集可）'!$BR$17:$BR$116,MATCH($A52&amp;$B52,'計測入力シート（ここのみ編集可）'!$BM$17:$BM$116,0)),"")</f>
        <v>-</v>
      </c>
      <c r="Q52" s="216">
        <f t="array" ref="Q52">IFERROR(INDEX('計測入力シート（ここのみ編集可）'!$BL$17:$BL$116,MATCH($A52&amp;$B52,'計測入力シート（ここのみ編集可）'!$BM$17:$BM$116,0)),"")</f>
        <v>42</v>
      </c>
    </row>
    <row r="53" ht="22.5" customHeight="1">
      <c r="A53" s="86" t="s">
        <v>85</v>
      </c>
      <c r="B53" s="86">
        <v>49.0</v>
      </c>
      <c r="C53" s="86"/>
      <c r="D53" s="217" t="str">
        <f t="array" ref="D53">IFERROR(INDEX('計測入力シート（ここのみ編集可）'!$B$17:$B$116,MATCH($A53&amp;$B53,'計測入力シート（ここのみ編集可）'!$BM$17:$BM$116,0)),"")</f>
        <v>N</v>
      </c>
      <c r="E53" s="212" t="str">
        <f t="array" ref="E53">IFERROR(INDEX('計測入力シート（ここのみ編集可）'!$D$17:$D$116,MATCH($A53&amp;$B53,'計測入力シート（ここのみ編集可）'!$BM$17:$BM$116,0)),"")</f>
        <v>こぱー</v>
      </c>
      <c r="F53" s="212" t="str">
        <f t="array" ref="F53">IFERROR(INDEX('計測入力シート（ここのみ編集可）'!$E$17:$E$116,MATCH($A53&amp;$B53,'計測入力シート（ここのみ編集可）'!$BM$17:$BM$116,0)),"")</f>
        <v>CB250R </v>
      </c>
      <c r="G53" s="213" t="str">
        <f t="array" ref="G53">IFERROR(INDEX('計測入力シート（ここのみ編集可）'!$AW$17:$AW$116,MATCH($A53&amp;$B53,'計測入力シート（ここのみ編集可）'!$BM$17:$BM$116,0)),"")</f>
        <v>9:99:999</v>
      </c>
      <c r="H53" s="212" t="str">
        <f t="array" ref="H53">IFERROR(INDEX('計測入力シート（ここのみ編集可）'!$AY$17:$AY$116,MATCH($A53&amp;$B53,'計測入力シート（ここのみ編集可）'!$BM$17:$BM$116,0)),"")</f>
        <v>MC</v>
      </c>
      <c r="I53" s="214" t="str">
        <f t="array" ref="I53">IFERROR(INDEX('計測入力シート（ここのみ編集可）'!$AZ$17:$AZ$116,MATCH($A53&amp;$B53,'計測入力シート（ここのみ編集可）'!$BM$17:$BM$116,0)),"")</f>
        <v>2:09:893</v>
      </c>
      <c r="J53" s="212" t="str">
        <f t="array" ref="J53">IFERROR(INDEX('計測入力シート（ここのみ編集可）'!$BB$17:$BB$116,MATCH($A53&amp;$B53,'計測入力シート（ここのみ編集可）'!$BM$17:$BM$116,0)),"")</f>
        <v>-</v>
      </c>
      <c r="K53" s="214" t="str">
        <f t="array" ref="K53">IFERROR(INDEX('計測入力シート（ここのみ編集可）'!$BC$17:$BC$116,MATCH($A53&amp;$B53,'計測入力シート（ここのみ編集可）'!$BM$17:$BM$116,0)),"")</f>
        <v>2:09:893</v>
      </c>
      <c r="L53" s="215">
        <f t="array" ref="L53">IFERROR(INDEX('計測入力シート（ここのみ編集可）'!$BD$17:$BD$116,MATCH($A53&amp;$B53,'計測入力シート（ここのみ編集可）'!$BM$17:$BM$116,0)),"")</f>
        <v>1.330789091</v>
      </c>
      <c r="M53" s="215">
        <f t="array" ref="M53">IFERROR(INDEX('計測入力シート（ここのみ編集可）'!$BE$17:$BE$116,MATCH($A53&amp;$B53,'計測入力シート（ここのみ編集可）'!$BM$17:$BM$116,0)),"")</f>
        <v>1.330789091</v>
      </c>
      <c r="N53" s="214">
        <f t="array" ref="N53">IFERROR(INDEX('計測入力シート（ここのみ編集可）'!$BN$17:$BN$116,MATCH($A53&amp;$B53,'計測入力シート（ここのみ編集可）'!$BM$17:$BM$116,0)),"")</f>
        <v>6</v>
      </c>
      <c r="O53" s="214" t="str">
        <f t="array" ref="O53">IFERROR(INDEX('計測入力シート（ここのみ編集可）'!$BP$17:$BP$116,MATCH($A53&amp;$B53,'計測入力シート（ここのみ編集可）'!$BM$17:$BM$116,0)),"")</f>
        <v>-</v>
      </c>
      <c r="P53" s="214" t="str">
        <f t="array" ref="P53">IFERROR(INDEX('計測入力シート（ここのみ編集可）'!$BR$17:$BR$116,MATCH($A53&amp;$B53,'計測入力シート（ここのみ編集可）'!$BM$17:$BM$116,0)),"")</f>
        <v>-</v>
      </c>
      <c r="Q53" s="216">
        <f t="array" ref="Q53">IFERROR(INDEX('計測入力シート（ここのみ編集可）'!$BL$17:$BL$116,MATCH($A53&amp;$B53,'計測入力シート（ここのみ編集可）'!$BM$17:$BM$116,0)),"")</f>
        <v>45</v>
      </c>
    </row>
    <row r="54" ht="22.5" customHeight="1">
      <c r="A54" s="86" t="s">
        <v>85</v>
      </c>
      <c r="B54" s="86">
        <v>50.0</v>
      </c>
      <c r="C54" s="86"/>
      <c r="D54" s="217" t="str">
        <f t="array" ref="D54">IFERROR(INDEX('計測入力シート（ここのみ編集可）'!$B$17:$B$116,MATCH($A54&amp;$B54,'計測入力シート（ここのみ編集可）'!$BM$17:$BM$116,0)),"")</f>
        <v>N</v>
      </c>
      <c r="E54" s="212" t="str">
        <f t="array" ref="E54">IFERROR(INDEX('計測入力シート（ここのみ編集可）'!$D$17:$D$116,MATCH($A54&amp;$B54,'計測入力シート（ここのみ編集可）'!$BM$17:$BM$116,0)),"")</f>
        <v>グチ</v>
      </c>
      <c r="F54" s="212" t="str">
        <f t="array" ref="F54">IFERROR(INDEX('計測入力シート（ここのみ編集可）'!$E$17:$E$116,MATCH($A54&amp;$B54,'計測入力シート（ここのみ編集可）'!$BM$17:$BM$116,0)),"")</f>
        <v>R1250GS</v>
      </c>
      <c r="G54" s="213" t="str">
        <f t="array" ref="G54">IFERROR(INDEX('計測入力シート（ここのみ編集可）'!$AW$17:$AW$116,MATCH($A54&amp;$B54,'計測入力シート（ここのみ編集可）'!$BM$17:$BM$116,0)),"")</f>
        <v>2:20:385</v>
      </c>
      <c r="H54" s="212">
        <f t="array" ref="H54">IFERROR(INDEX('計測入力シート（ここのみ編集可）'!$AY$17:$AY$116,MATCH($A54&amp;$B54,'計測入力シート（ここのみ編集可）'!$BM$17:$BM$116,0)),"")</f>
        <v>6</v>
      </c>
      <c r="I54" s="214" t="str">
        <f t="array" ref="I54">IFERROR(INDEX('計測入力シート（ここのみ編集可）'!$AZ$17:$AZ$116,MATCH($A54&amp;$B54,'計測入力シート（ここのみ編集可）'!$BM$17:$BM$116,0)),"")</f>
        <v>2:16:797</v>
      </c>
      <c r="J54" s="212" t="str">
        <f t="array" ref="J54">IFERROR(INDEX('計測入力シート（ここのみ編集可）'!$BB$17:$BB$116,MATCH($A54&amp;$B54,'計測入力シート（ここのみ編集可）'!$BM$17:$BM$116,0)),"")</f>
        <v>-</v>
      </c>
      <c r="K54" s="214" t="str">
        <f t="array" ref="K54">IFERROR(INDEX('計測入力シート（ここのみ編集可）'!$BC$17:$BC$116,MATCH($A54&amp;$B54,'計測入力シート（ここのみ編集可）'!$BM$17:$BM$116,0)),"")</f>
        <v>2:16:797</v>
      </c>
      <c r="L54" s="215">
        <f t="array" ref="L54">IFERROR(INDEX('計測入力シート（ここのみ編集可）'!$BD$17:$BD$116,MATCH($A54&amp;$B54,'計測入力シート（ここのみ編集可）'!$BM$17:$BM$116,0)),"")</f>
        <v>1.401522447</v>
      </c>
      <c r="M54" s="215">
        <f t="array" ref="M54">IFERROR(INDEX('計測入力シート（ここのみ編集可）'!$BE$17:$BE$116,MATCH($A54&amp;$B54,'計測入力シート（ここのみ編集可）'!$BM$17:$BM$116,0)),"")</f>
        <v>1.401522447</v>
      </c>
      <c r="N54" s="214">
        <f t="array" ref="N54">IFERROR(INDEX('計測入力シート（ここのみ編集可）'!$BN$17:$BN$116,MATCH($A54&amp;$B54,'計測入力シート（ここのみ編集可）'!$BM$17:$BM$116,0)),"")</f>
        <v>7</v>
      </c>
      <c r="O54" s="214" t="str">
        <f t="array" ref="O54">IFERROR(INDEX('計測入力シート（ここのみ編集可）'!$BP$17:$BP$116,MATCH($A54&amp;$B54,'計測入力シート（ここのみ編集可）'!$BM$17:$BM$116,0)),"")</f>
        <v>-</v>
      </c>
      <c r="P54" s="214" t="str">
        <f t="array" ref="P54">IFERROR(INDEX('計測入力シート（ここのみ編集可）'!$BR$17:$BR$116,MATCH($A54&amp;$B54,'計測入力シート（ここのみ編集可）'!$BM$17:$BM$116,0)),"")</f>
        <v>-</v>
      </c>
      <c r="Q54" s="216">
        <f t="array" ref="Q54">IFERROR(INDEX('計測入力シート（ここのみ編集可）'!$BL$17:$BL$116,MATCH($A54&amp;$B54,'計測入力シート（ここのみ編集可）'!$BM$17:$BM$116,0)),"")</f>
        <v>46</v>
      </c>
    </row>
    <row r="55" ht="22.5" customHeight="1">
      <c r="A55" s="86" t="s">
        <v>85</v>
      </c>
      <c r="B55" s="86">
        <v>51.0</v>
      </c>
      <c r="C55" s="86"/>
      <c r="D55" s="217" t="str">
        <f t="array" ref="D55">IFERROR(INDEX('計測入力シート（ここのみ編集可）'!$B$17:$B$116,MATCH($A55&amp;$B55,'計測入力シート（ここのみ編集可）'!$BM$17:$BM$116,0)),"")</f>
        <v>N</v>
      </c>
      <c r="E55" s="212" t="str">
        <f t="array" ref="E55">IFERROR(INDEX('計測入力シート（ここのみ編集可）'!$D$17:$D$116,MATCH($A55&amp;$B55,'計測入力シート（ここのみ編集可）'!$BM$17:$BM$116,0)),"")</f>
        <v>むねー</v>
      </c>
      <c r="F55" s="212" t="str">
        <f t="array" ref="F55">IFERROR(INDEX('計測入力シート（ここのみ編集可）'!$E$17:$E$116,MATCH($A55&amp;$B55,'計測入力シート（ここのみ編集可）'!$BM$17:$BM$116,0)),"")</f>
        <v>GROM</v>
      </c>
      <c r="G55" s="213" t="str">
        <f t="array" ref="G55">IFERROR(INDEX('計測入力シート（ここのみ編集可）'!$AW$17:$AW$116,MATCH($A55&amp;$B55,'計測入力シート（ここのみ編集可）'!$BM$17:$BM$116,0)),"")</f>
        <v>9:99:999</v>
      </c>
      <c r="H55" s="212" t="str">
        <f t="array" ref="H55">IFERROR(INDEX('計測入力シート（ここのみ編集可）'!$AY$17:$AY$116,MATCH($A55&amp;$B55,'計測入力シート（ここのみ編集可）'!$BM$17:$BM$116,0)),"")</f>
        <v>MC</v>
      </c>
      <c r="I55" s="214" t="str">
        <f t="array" ref="I55">IFERROR(INDEX('計測入力シート（ここのみ編集可）'!$AZ$17:$AZ$116,MATCH($A55&amp;$B55,'計測入力シート（ここのみ編集可）'!$BM$17:$BM$116,0)),"")</f>
        <v>2:19:060</v>
      </c>
      <c r="J55" s="212" t="str">
        <f t="array" ref="J55">IFERROR(INDEX('計測入力シート（ここのみ編集可）'!$BB$17:$BB$116,MATCH($A55&amp;$B55,'計測入力シート（ここのみ編集可）'!$BM$17:$BM$116,0)),"")</f>
        <v>-</v>
      </c>
      <c r="K55" s="214" t="str">
        <f t="array" ref="K55">IFERROR(INDEX('計測入力シート（ここのみ編集可）'!$BC$17:$BC$116,MATCH($A55&amp;$B55,'計測入力シート（ここのみ編集可）'!$BM$17:$BM$116,0)),"")</f>
        <v>2:19:060</v>
      </c>
      <c r="L55" s="215">
        <f t="array" ref="L55">IFERROR(INDEX('計測入力シート（ここのみ編集可）'!$BD$17:$BD$116,MATCH($A55&amp;$B55,'計測入力シート（ここのみ編集可）'!$BM$17:$BM$116,0)),"")</f>
        <v>1.424707497</v>
      </c>
      <c r="M55" s="215">
        <f t="array" ref="M55">IFERROR(INDEX('計測入力シート（ここのみ編集可）'!$BE$17:$BE$116,MATCH($A55&amp;$B55,'計測入力シート（ここのみ編集可）'!$BM$17:$BM$116,0)),"")</f>
        <v>1.424707497</v>
      </c>
      <c r="N55" s="214">
        <f t="array" ref="N55">IFERROR(INDEX('計測入力シート（ここのみ編集可）'!$BN$17:$BN$116,MATCH($A55&amp;$B55,'計測入力シート（ここのみ編集可）'!$BM$17:$BM$116,0)),"")</f>
        <v>8</v>
      </c>
      <c r="O55" s="214" t="str">
        <f t="array" ref="O55">IFERROR(INDEX('計測入力シート（ここのみ編集可）'!$BP$17:$BP$116,MATCH($A55&amp;$B55,'計測入力シート（ここのみ編集可）'!$BM$17:$BM$116,0)),"")</f>
        <v>-</v>
      </c>
      <c r="P55" s="214">
        <f t="array" ref="P55">IFERROR(INDEX('計測入力シート（ここのみ編集可）'!$BR$17:$BR$116,MATCH($A55&amp;$B55,'計測入力シート（ここのみ編集可）'!$BM$17:$BM$116,0)),"")</f>
        <v>4</v>
      </c>
      <c r="Q55" s="216">
        <f t="array" ref="Q55">IFERROR(INDEX('計測入力シート（ここのみ編集可）'!$BL$17:$BL$116,MATCH($A55&amp;$B55,'計測入力シート（ここのみ編集可）'!$BM$17:$BM$116,0)),"")</f>
        <v>47</v>
      </c>
    </row>
    <row r="56" ht="22.5" customHeight="1">
      <c r="A56" s="86" t="s">
        <v>85</v>
      </c>
      <c r="B56" s="86">
        <v>52.0</v>
      </c>
      <c r="C56" s="86"/>
      <c r="D56" s="217" t="str">
        <f t="array" ref="D56">IFERROR(INDEX('計測入力シート（ここのみ編集可）'!$B$17:$B$116,MATCH($A56&amp;$B56,'計測入力シート（ここのみ編集可）'!$BM$17:$BM$116,0)),"")</f>
        <v>N</v>
      </c>
      <c r="E56" s="212" t="str">
        <f t="array" ref="E56">IFERROR(INDEX('計測入力シート（ここのみ編集可）'!$D$17:$D$116,MATCH($A56&amp;$B56,'計測入力シート（ここのみ編集可）'!$BM$17:$BM$116,0)),"")</f>
        <v>まさじぃ</v>
      </c>
      <c r="F56" s="212" t="str">
        <f t="array" ref="F56">IFERROR(INDEX('計測入力シート（ここのみ編集可）'!$E$17:$E$116,MATCH($A56&amp;$B56,'計測入力シート（ここのみ編集可）'!$BM$17:$BM$116,0)),"")</f>
        <v>GSX-S1000</v>
      </c>
      <c r="G56" s="213" t="str">
        <f t="array" ref="G56">IFERROR(INDEX('計測入力シート（ここのみ編集可）'!$AW$17:$AW$116,MATCH($A56&amp;$B56,'計測入力シート（ここのみ編集可）'!$BM$17:$BM$116,0)),"")</f>
        <v>9:99:999</v>
      </c>
      <c r="H56" s="212" t="str">
        <f t="array" ref="H56">IFERROR(INDEX('計測入力シート（ここのみ編集可）'!$AY$17:$AY$116,MATCH($A56&amp;$B56,'計測入力シート（ここのみ編集可）'!$BM$17:$BM$116,0)),"")</f>
        <v>MC</v>
      </c>
      <c r="I56" s="214" t="str">
        <f t="array" ref="I56">IFERROR(INDEX('計測入力シート（ここのみ編集可）'!$AZ$17:$AZ$116,MATCH($A56&amp;$B56,'計測入力シート（ここのみ編集可）'!$BM$17:$BM$116,0)),"")</f>
        <v>2:17:950</v>
      </c>
      <c r="J56" s="212">
        <f t="array" ref="J56">IFERROR(INDEX('計測入力シート（ここのみ編集可）'!$BB$17:$BB$116,MATCH($A56&amp;$B56,'計測入力シート（ここのみ編集可）'!$BM$17:$BM$116,0)),"")</f>
        <v>2</v>
      </c>
      <c r="K56" s="214" t="str">
        <f t="array" ref="K56">IFERROR(INDEX('計測入力シート（ここのみ編集可）'!$BC$17:$BC$116,MATCH($A56&amp;$B56,'計測入力シート（ここのみ編集可）'!$BM$17:$BM$116,0)),"")</f>
        <v>2:19:950</v>
      </c>
      <c r="L56" s="215">
        <f t="array" ref="L56">IFERROR(INDEX('計測入力シート（ここのみ編集可）'!$BD$17:$BD$116,MATCH($A56&amp;$B56,'計測入力シート（ここのみ編集可）'!$BM$17:$BM$116,0)),"")</f>
        <v>1.433825789</v>
      </c>
      <c r="M56" s="215">
        <f t="array" ref="M56">IFERROR(INDEX('計測入力シート（ここのみ編集可）'!$BE$17:$BE$116,MATCH($A56&amp;$B56,'計測入力シート（ここのみ編集可）'!$BM$17:$BM$116,0)),"")</f>
        <v>1.433825789</v>
      </c>
      <c r="N56" s="214">
        <f t="array" ref="N56">IFERROR(INDEX('計測入力シート（ここのみ編集可）'!$BN$17:$BN$116,MATCH($A56&amp;$B56,'計測入力シート（ここのみ編集可）'!$BM$17:$BM$116,0)),"")</f>
        <v>9</v>
      </c>
      <c r="O56" s="214" t="str">
        <f t="array" ref="O56">IFERROR(INDEX('計測入力シート（ここのみ編集可）'!$BP$17:$BP$116,MATCH($A56&amp;$B56,'計測入力シート（ここのみ編集可）'!$BM$17:$BM$116,0)),"")</f>
        <v>-</v>
      </c>
      <c r="P56" s="214" t="str">
        <f t="array" ref="P56">IFERROR(INDEX('計測入力シート（ここのみ編集可）'!$BR$17:$BR$116,MATCH($A56&amp;$B56,'計測入力シート（ここのみ編集可）'!$BM$17:$BM$116,0)),"")</f>
        <v>-</v>
      </c>
      <c r="Q56" s="216">
        <f t="array" ref="Q56">IFERROR(INDEX('計測入力シート（ここのみ編集可）'!$BL$17:$BL$116,MATCH($A56&amp;$B56,'計測入力シート（ここのみ編集可）'!$BM$17:$BM$116,0)),"")</f>
        <v>48</v>
      </c>
    </row>
    <row r="57" ht="22.5" customHeight="1">
      <c r="A57" s="86" t="s">
        <v>85</v>
      </c>
      <c r="B57" s="86">
        <v>53.0</v>
      </c>
      <c r="C57" s="86"/>
      <c r="D57" s="217" t="str">
        <f t="array" ref="D57">IFERROR(INDEX('計測入力シート（ここのみ編集可）'!$B$17:$B$116,MATCH($A57&amp;$B57,'計測入力シート（ここのみ編集可）'!$BM$17:$BM$116,0)),"")</f>
        <v>N</v>
      </c>
      <c r="E57" s="212" t="str">
        <f t="array" ref="E57">IFERROR(INDEX('計測入力シート（ここのみ編集可）'!$D$17:$D$116,MATCH($A57&amp;$B57,'計測入力シート（ここのみ編集可）'!$BM$17:$BM$116,0)),"")</f>
        <v>EK9</v>
      </c>
      <c r="F57" s="212" t="str">
        <f t="array" ref="F57">IFERROR(INDEX('計測入力シート（ここのみ編集可）'!$E$17:$E$116,MATCH($A57&amp;$B57,'計測入力シート（ここのみ編集可）'!$BM$17:$BM$116,0)),"")</f>
        <v>NSR250</v>
      </c>
      <c r="G57" s="213" t="str">
        <f t="array" ref="G57">IFERROR(INDEX('計測入力シート（ここのみ編集可）'!$AW$17:$AW$116,MATCH($A57&amp;$B57,'計測入力シート（ここのみ編集可）'!$BM$17:$BM$116,0)),"")</f>
        <v>2:40:692</v>
      </c>
      <c r="H57" s="212" t="str">
        <f t="array" ref="H57">IFERROR(INDEX('計測入力シート（ここのみ編集可）'!$AY$17:$AY$116,MATCH($A57&amp;$B57,'計測入力シート（ここのみ編集可）'!$BM$17:$BM$116,0)),"")</f>
        <v>-</v>
      </c>
      <c r="I57" s="214" t="str">
        <f t="array" ref="I57">IFERROR(INDEX('計測入力シート（ここのみ編集可）'!$AZ$17:$AZ$116,MATCH($A57&amp;$B57,'計測入力シート（ここのみ編集可）'!$BM$17:$BM$116,0)),"")</f>
        <v>2:30:194</v>
      </c>
      <c r="J57" s="212" t="str">
        <f t="array" ref="J57">IFERROR(INDEX('計測入力シート（ここのみ編集可）'!$BB$17:$BB$116,MATCH($A57&amp;$B57,'計測入力シート（ここのみ編集可）'!$BM$17:$BM$116,0)),"")</f>
        <v>-</v>
      </c>
      <c r="K57" s="214" t="str">
        <f t="array" ref="K57">IFERROR(INDEX('計測入力シート（ここのみ編集可）'!$BC$17:$BC$116,MATCH($A57&amp;$B57,'計測入力シート（ここのみ編集可）'!$BM$17:$BM$116,0)),"")</f>
        <v>2:30:194</v>
      </c>
      <c r="L57" s="215">
        <f t="array" ref="L57">IFERROR(INDEX('計測入力シート（ここのみ編集可）'!$BD$17:$BD$116,MATCH($A57&amp;$B57,'計測入力シート（ここのみ編集可）'!$BM$17:$BM$116,0)),"")</f>
        <v>1.538778354</v>
      </c>
      <c r="M57" s="215">
        <f t="array" ref="M57">IFERROR(INDEX('計測入力シート（ここのみ編集可）'!$BE$17:$BE$116,MATCH($A57&amp;$B57,'計測入力シート（ここのみ編集可）'!$BM$17:$BM$116,0)),"")</f>
        <v>1.538778354</v>
      </c>
      <c r="N57" s="214">
        <f t="array" ref="N57">IFERROR(INDEX('計測入力シート（ここのみ編集可）'!$BN$17:$BN$116,MATCH($A57&amp;$B57,'計測入力シート（ここのみ編集可）'!$BM$17:$BM$116,0)),"")</f>
        <v>10</v>
      </c>
      <c r="O57" s="214">
        <f t="array" ref="O57">IFERROR(INDEX('計測入力シート（ここのみ編集可）'!$BP$17:$BP$116,MATCH($A57&amp;$B57,'計測入力シート（ここのみ編集可）'!$BM$17:$BM$116,0)),"")</f>
        <v>5</v>
      </c>
      <c r="P57" s="214" t="str">
        <f t="array" ref="P57">IFERROR(INDEX('計測入力シート（ここのみ編集可）'!$BR$17:$BR$116,MATCH($A57&amp;$B57,'計測入力シート（ここのみ編集可）'!$BM$17:$BM$116,0)),"")</f>
        <v>-</v>
      </c>
      <c r="Q57" s="216">
        <f t="array" ref="Q57">IFERROR(INDEX('計測入力シート（ここのみ編集可）'!$BL$17:$BL$116,MATCH($A57&amp;$B57,'計測入力シート（ここのみ編集可）'!$BM$17:$BM$116,0)),"")</f>
        <v>49</v>
      </c>
    </row>
    <row r="58" ht="22.5" customHeight="1">
      <c r="A58" s="86" t="s">
        <v>85</v>
      </c>
      <c r="B58" s="86">
        <v>54.0</v>
      </c>
      <c r="C58" s="86"/>
      <c r="D58" s="218" t="str">
        <f t="array" ref="D58">IFERROR(INDEX('計測入力シート（ここのみ編集可）'!$B$17:$B$116,MATCH($A58&amp;$B58,'計測入力シート（ここのみ編集可）'!$BM$17:$BM$116,0)),"")</f>
        <v>N</v>
      </c>
      <c r="E58" s="219" t="str">
        <f t="array" ref="E58">IFERROR(INDEX('計測入力シート（ここのみ編集可）'!$D$17:$D$116,MATCH($A58&amp;$B58,'計測入力シート（ここのみ編集可）'!$BM$17:$BM$116,0)),"")</f>
        <v>さかもっちゃん</v>
      </c>
      <c r="F58" s="219" t="str">
        <f t="array" ref="F58">IFERROR(INDEX('計測入力シート（ここのみ編集可）'!$E$17:$E$116,MATCH($A58&amp;$B58,'計測入力シート（ここのみ編集可）'!$BM$17:$BM$116,0)),"")</f>
        <v>690 DUKE</v>
      </c>
      <c r="G58" s="220" t="str">
        <f t="array" ref="G58">IFERROR(INDEX('計測入力シート（ここのみ編集可）'!$AW$17:$AW$116,MATCH($A58&amp;$B58,'計測入力シート（ここのみ編集可）'!$BM$17:$BM$116,0)),"")</f>
        <v>2:48:703</v>
      </c>
      <c r="H58" s="219" t="str">
        <f t="array" ref="H58">IFERROR(INDEX('計測入力シート（ここのみ編集可）'!$AY$17:$AY$116,MATCH($A58&amp;$B58,'計測入力シート（ここのみ編集可）'!$BM$17:$BM$116,0)),"")</f>
        <v>-</v>
      </c>
      <c r="I58" s="221" t="str">
        <f t="array" ref="I58">IFERROR(INDEX('計測入力シート（ここのみ編集可）'!$AZ$17:$AZ$116,MATCH($A58&amp;$B58,'計測入力シート（ここのみ編集可）'!$BM$17:$BM$116,0)),"")</f>
        <v>2:41:056</v>
      </c>
      <c r="J58" s="219" t="str">
        <f t="array" ref="J58">IFERROR(INDEX('計測入力シート（ここのみ編集可）'!$BB$17:$BB$116,MATCH($A58&amp;$B58,'計測入力シート（ここのみ編集可）'!$BM$17:$BM$116,0)),"")</f>
        <v>-</v>
      </c>
      <c r="K58" s="221" t="str">
        <f t="array" ref="K58">IFERROR(INDEX('計測入力シート（ここのみ編集可）'!$BC$17:$BC$116,MATCH($A58&amp;$B58,'計測入力シート（ここのみ編集可）'!$BM$17:$BM$116,0)),"")</f>
        <v>2:41:056</v>
      </c>
      <c r="L58" s="222">
        <f t="array" ref="L58">IFERROR(INDEX('計測入力シート（ここのみ編集可）'!$BD$17:$BD$116,MATCH($A58&amp;$B58,'計測入力シート（ここのみ編集可）'!$BM$17:$BM$116,0)),"")</f>
        <v>1.650062496</v>
      </c>
      <c r="M58" s="222">
        <f t="array" ref="M58">IFERROR(INDEX('計測入力シート（ここのみ編集可）'!$BE$17:$BE$116,MATCH($A58&amp;$B58,'計測入力シート（ここのみ編集可）'!$BM$17:$BM$116,0)),"")</f>
        <v>1.650062496</v>
      </c>
      <c r="N58" s="221">
        <f t="array" ref="N58">IFERROR(INDEX('計測入力シート（ここのみ編集可）'!$BN$17:$BN$116,MATCH($A58&amp;$B58,'計測入力シート（ここのみ編集可）'!$BM$17:$BM$116,0)),"")</f>
        <v>11</v>
      </c>
      <c r="O58" s="221" t="str">
        <f t="array" ref="O58">IFERROR(INDEX('計測入力シート（ここのみ編集可）'!$BP$17:$BP$116,MATCH($A58&amp;$B58,'計測入力シート（ここのみ編集可）'!$BM$17:$BM$116,0)),"")</f>
        <v>-</v>
      </c>
      <c r="P58" s="221" t="str">
        <f t="array" ref="P58">IFERROR(INDEX('計測入力シート（ここのみ編集可）'!$BR$17:$BR$116,MATCH($A58&amp;$B58,'計測入力シート（ここのみ編集可）'!$BM$17:$BM$116,0)),"")</f>
        <v>-</v>
      </c>
      <c r="Q58" s="223">
        <f t="array" ref="Q58">IFERROR(INDEX('計測入力シート（ここのみ編集可）'!$BL$17:$BL$116,MATCH($A58&amp;$B58,'計測入力シート（ここのみ編集可）'!$BM$17:$BM$116,0)),"")</f>
        <v>50</v>
      </c>
    </row>
    <row r="59" ht="20.25" customHeight="1"/>
    <row r="60" ht="20.25" customHeight="1"/>
    <row r="61" ht="20.25" customHeight="1"/>
    <row r="62" ht="20.25" customHeight="1"/>
    <row r="63" ht="20.25" customHeight="1"/>
    <row r="64" ht="20.25" customHeight="1"/>
  </sheetData>
  <mergeCells count="13">
    <mergeCell ref="L3:L4"/>
    <mergeCell ref="M3:M4"/>
    <mergeCell ref="N3:N4"/>
    <mergeCell ref="O3:O4"/>
    <mergeCell ref="P3:P4"/>
    <mergeCell ref="Q3:Q4"/>
    <mergeCell ref="D2:Q2"/>
    <mergeCell ref="D3:D4"/>
    <mergeCell ref="E3:E4"/>
    <mergeCell ref="F3:F4"/>
    <mergeCell ref="G3:H3"/>
    <mergeCell ref="I3:J3"/>
    <mergeCell ref="K3:K4"/>
  </mergeCells>
  <conditionalFormatting sqref="D5:D58">
    <cfRule type="cellIs" dxfId="3" priority="1" operator="equal">
      <formula>"A"</formula>
    </cfRule>
  </conditionalFormatting>
  <conditionalFormatting sqref="D5:D58">
    <cfRule type="cellIs" dxfId="4" priority="2" operator="equal">
      <formula>"B"</formula>
    </cfRule>
  </conditionalFormatting>
  <conditionalFormatting sqref="D5:D58">
    <cfRule type="cellIs" dxfId="5" priority="3" operator="equal">
      <formula>"C1"</formula>
    </cfRule>
  </conditionalFormatting>
  <conditionalFormatting sqref="D5:D58">
    <cfRule type="cellIs" dxfId="6" priority="4" operator="equal">
      <formula>"C2"</formula>
    </cfRule>
  </conditionalFormatting>
  <conditionalFormatting sqref="D5:D58">
    <cfRule type="cellIs" dxfId="7" priority="5" operator="equal">
      <formula>"D"</formula>
    </cfRule>
  </conditionalFormatting>
  <conditionalFormatting sqref="D5:D58">
    <cfRule type="cellIs" dxfId="8" priority="6" operator="equal">
      <formula>"R"</formula>
    </cfRule>
  </conditionalFormatting>
  <conditionalFormatting sqref="D5:D58">
    <cfRule type="cellIs" dxfId="9" priority="7" operator="equal">
      <formula>"N"</formula>
    </cfRule>
  </conditionalFormatting>
  <conditionalFormatting sqref="D5:D58">
    <cfRule type="cellIs" dxfId="10" priority="8" operator="equal">
      <formula>"NL"</formula>
    </cfRule>
  </conditionalFormatting>
  <conditionalFormatting sqref="D5:D58">
    <cfRule type="cellIs" dxfId="11" priority="9" operator="equal">
      <formula>"A"</formula>
    </cfRule>
  </conditionalFormatting>
  <printOptions horizontalCentered="1"/>
  <pageMargins bottom="0.75" footer="0.0" header="0.0" left="0.7" right="0.7" top="0.75"/>
  <pageSetup fitToHeight="0" paperSize="9" cellComments="atEnd" orientation="portrait" pageOrder="overThenDown"/>
  <drawing r:id="rId1"/>
  <tableParts count="1">
    <tablePart r:id="rId3"/>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2" width="6.88"/>
    <col customWidth="1" min="3" max="3" width="3.25"/>
    <col customWidth="1" min="4" max="4" width="7.63"/>
    <col customWidth="1" min="5" max="7" width="15.13"/>
    <col customWidth="1" min="8" max="8" width="7.63"/>
    <col customWidth="1" min="9" max="9" width="15.13"/>
    <col customWidth="1" min="10" max="10" width="7.63"/>
    <col customWidth="1" min="11" max="11" width="15.13"/>
    <col customWidth="1" min="12" max="17" width="7.63"/>
  </cols>
  <sheetData>
    <row r="1" ht="12.75" customHeight="1"/>
    <row r="2" ht="31.5" customHeight="1">
      <c r="D2" s="224" t="s">
        <v>77</v>
      </c>
      <c r="E2" s="225"/>
      <c r="F2" s="225"/>
      <c r="G2" s="225"/>
      <c r="H2" s="225"/>
      <c r="I2" s="225"/>
      <c r="J2" s="225"/>
      <c r="K2" s="225"/>
      <c r="L2" s="225"/>
      <c r="M2" s="225"/>
      <c r="N2" s="225"/>
      <c r="O2" s="225"/>
      <c r="P2" s="225"/>
      <c r="Q2" s="226"/>
    </row>
    <row r="3" ht="14.25" customHeight="1">
      <c r="D3" s="227" t="s">
        <v>1</v>
      </c>
      <c r="E3" s="203" t="s">
        <v>17</v>
      </c>
      <c r="F3" s="204" t="s">
        <v>18</v>
      </c>
      <c r="G3" s="228" t="s">
        <v>20</v>
      </c>
      <c r="I3" s="228" t="s">
        <v>21</v>
      </c>
      <c r="K3" s="203" t="s">
        <v>78</v>
      </c>
      <c r="L3" s="206" t="s">
        <v>25</v>
      </c>
      <c r="M3" s="206" t="s">
        <v>79</v>
      </c>
      <c r="N3" s="207" t="s">
        <v>80</v>
      </c>
      <c r="O3" s="206" t="s">
        <v>81</v>
      </c>
      <c r="P3" s="206" t="s">
        <v>82</v>
      </c>
      <c r="Q3" s="229" t="s">
        <v>83</v>
      </c>
    </row>
    <row r="4" ht="17.25" customHeight="1">
      <c r="D4" s="230"/>
      <c r="E4" s="209"/>
      <c r="G4" s="203" t="s">
        <v>60</v>
      </c>
      <c r="H4" s="231" t="s">
        <v>84</v>
      </c>
      <c r="I4" s="203" t="s">
        <v>60</v>
      </c>
      <c r="J4" s="231" t="s">
        <v>84</v>
      </c>
      <c r="K4" s="209"/>
      <c r="N4" s="210"/>
      <c r="Q4" s="232"/>
    </row>
    <row r="5" ht="18.75" customHeight="1">
      <c r="A5" s="86" t="s">
        <v>85</v>
      </c>
      <c r="B5" s="86">
        <v>1.0</v>
      </c>
      <c r="C5" s="86"/>
      <c r="D5" s="7" t="str">
        <f t="array" ref="D5">IFERROR(INDEX('計測入力シート（ここのみ編集可）'!$B$17:$B$116,MATCH($A5&amp;$B5,'計測入力シート（ここのみ編集可）'!$BM$17:$BM$116,0)),"")</f>
        <v>A</v>
      </c>
      <c r="E5" s="233" t="str">
        <f t="array" ref="E5">IFERROR(INDEX('計測入力シート（ここのみ編集可）'!$D$17:$D$116,MATCH($A5&amp;$B5,'計測入力シート（ここのみ編集可）'!$BM$17:$BM$116,0)),"")</f>
        <v>OKOK</v>
      </c>
      <c r="F5" s="233" t="str">
        <f t="array" ref="F5">IFERROR(INDEX('計測入力シート（ここのみ編集可）'!$E$17:$E$116,MATCH($A5&amp;$B5,'計測入力シート（ここのみ編集可）'!$BM$17:$BM$116,0)),"")</f>
        <v>NSR250</v>
      </c>
      <c r="G5" s="234" t="str">
        <f t="array" ref="G5">IFERROR(INDEX('計測入力シート（ここのみ編集可）'!$AW$17:$AW$116,MATCH($A5&amp;$B5,'計測入力シート（ここのみ編集可）'!$BM$17:$BM$116,0)),"")</f>
        <v>1:37:606</v>
      </c>
      <c r="H5" s="233" t="str">
        <f t="array" ref="H5">IFERROR(INDEX('計測入力シート（ここのみ編集可）'!$AY$17:$AY$116,MATCH($A5&amp;$B5,'計測入力シート（ここのみ編集可）'!$BM$17:$BM$116,0)),"")</f>
        <v>-</v>
      </c>
      <c r="I5" s="235" t="str">
        <f t="array" ref="I5">IFERROR(INDEX('計測入力シート（ここのみ編集可）'!$AZ$17:$AZ$116,MATCH($A5&amp;$B5,'計測入力シート（ここのみ編集可）'!$BM$17:$BM$116,0)),"")</f>
        <v>1:37:784</v>
      </c>
      <c r="J5" s="233" t="str">
        <f t="array" ref="J5">IFERROR(INDEX('計測入力シート（ここのみ編集可）'!$BB$17:$BB$116,MATCH($A5&amp;$B5,'計測入力シート（ここのみ編集可）'!$BM$17:$BM$116,0)),"")</f>
        <v>-</v>
      </c>
      <c r="K5" s="235" t="str">
        <f t="array" ref="K5">IFERROR(INDEX('計測入力シート（ここのみ編集可）'!$BC$17:$BC$116,MATCH($A5&amp;$B5,'計測入力シート（ここのみ編集可）'!$BM$17:$BM$116,0)),"")</f>
        <v>1:37:606</v>
      </c>
      <c r="L5" s="236">
        <f t="array" ref="L5">IFERROR(INDEX('計測入力シート（ここのみ編集可）'!$BD$17:$BD$116,MATCH($A5&amp;$B5,'計測入力シート（ここのみ編集可）'!$BM$17:$BM$116,0)),"")</f>
        <v>1</v>
      </c>
      <c r="M5" s="236">
        <f t="array" ref="M5">IFERROR(INDEX('計測入力シート（ここのみ編集可）'!$BE$17:$BE$116,MATCH($A5&amp;$B5,'計測入力シート（ここのみ編集可）'!$BM$17:$BM$116,0)),"")</f>
        <v>1</v>
      </c>
      <c r="N5" s="235">
        <f t="array" ref="N5">IFERROR(INDEX('計測入力シート（ここのみ編集可）'!$BN$17:$BN$116,MATCH($A5&amp;$B5,'計測入力シート（ここのみ編集可）'!$BM$17:$BM$116,0)),"")</f>
        <v>1</v>
      </c>
      <c r="O5" s="235" t="str">
        <f t="array" ref="O5">IFERROR(INDEX('計測入力シート（ここのみ編集可）'!$BP$17:$BP$116,MATCH($A5&amp;$B5,'計測入力シート（ここのみ編集可）'!$BM$17:$BM$116,0)),"")</f>
        <v>-</v>
      </c>
      <c r="P5" s="235" t="str">
        <f t="array" ref="P5">IFERROR(INDEX('計測入力シート（ここのみ編集可）'!$BR$17:$BR$116,MATCH($A5&amp;$B5,'計測入力シート（ここのみ編集可）'!$BM$17:$BM$116,0)),"")</f>
        <v>-</v>
      </c>
      <c r="Q5" s="237">
        <f t="array" ref="Q5">IFERROR(INDEX('計測入力シート（ここのみ編集可）'!$BL$17:$BL$116,MATCH($A5&amp;$B5,'計測入力シート（ここのみ編集可）'!$BM$17:$BM$116,0)),"")</f>
        <v>1</v>
      </c>
    </row>
    <row r="6" ht="18.75" customHeight="1">
      <c r="A6" s="86" t="s">
        <v>85</v>
      </c>
      <c r="B6" s="86">
        <v>2.0</v>
      </c>
      <c r="C6" s="86"/>
      <c r="D6" s="238" t="str">
        <f t="array" ref="D6">IFERROR(INDEX('計測入力シート（ここのみ編集可）'!$B$17:$B$116,MATCH($A6&amp;$B6,'計測入力シート（ここのみ編集可）'!$BM$17:$BM$116,0)),"")</f>
        <v>A</v>
      </c>
      <c r="E6" s="233" t="str">
        <f t="array" ref="E6">IFERROR(INDEX('計測入力シート（ここのみ編集可）'!$D$17:$D$116,MATCH($A6&amp;$B6,'計測入力シート（ここのみ編集可）'!$BM$17:$BM$116,0)),"")</f>
        <v>ray</v>
      </c>
      <c r="F6" s="233" t="str">
        <f t="array" ref="F6">IFERROR(INDEX('計測入力シート（ここのみ編集可）'!$E$17:$E$116,MATCH($A6&amp;$B6,'計測入力シート（ここのみ編集可）'!$BM$17:$BM$116,0)),"")</f>
        <v>YZ250X</v>
      </c>
      <c r="G6" s="234" t="str">
        <f t="array" ref="G6">IFERROR(INDEX('計測入力シート（ここのみ編集可）'!$AW$17:$AW$116,MATCH($A6&amp;$B6,'計測入力シート（ここのみ編集可）'!$BM$17:$BM$116,0)),"")</f>
        <v>1:39:220</v>
      </c>
      <c r="H6" s="233">
        <f t="array" ref="H6">IFERROR(INDEX('計測入力シート（ここのみ編集可）'!$AY$17:$AY$116,MATCH($A6&amp;$B6,'計測入力シート（ここのみ編集可）'!$BM$17:$BM$116,0)),"")</f>
        <v>1</v>
      </c>
      <c r="I6" s="235" t="str">
        <f t="array" ref="I6">IFERROR(INDEX('計測入力シート（ここのみ編集可）'!$AZ$17:$AZ$116,MATCH($A6&amp;$B6,'計測入力シート（ここのみ編集可）'!$BM$17:$BM$116,0)),"")</f>
        <v>9:99:999</v>
      </c>
      <c r="J6" s="233" t="str">
        <f t="array" ref="J6">IFERROR(INDEX('計測入力シート（ここのみ編集可）'!$BB$17:$BB$116,MATCH($A6&amp;$B6,'計測入力シート（ここのみ編集可）'!$BM$17:$BM$116,0)),"")</f>
        <v>MC</v>
      </c>
      <c r="K6" s="235" t="str">
        <f t="array" ref="K6">IFERROR(INDEX('計測入力シート（ここのみ編集可）'!$BC$17:$BC$116,MATCH($A6&amp;$B6,'計測入力シート（ここのみ編集可）'!$BM$17:$BM$116,0)),"")</f>
        <v>1:40:220</v>
      </c>
      <c r="L6" s="236">
        <f t="array" ref="L6">IFERROR(INDEX('計測入力シート（ここのみ編集可）'!$BD$17:$BD$116,MATCH($A6&amp;$B6,'計測入力シート（ここのみ編集可）'!$BM$17:$BM$116,0)),"")</f>
        <v>1.026781141</v>
      </c>
      <c r="M6" s="236">
        <f t="array" ref="M6">IFERROR(INDEX('計測入力シート（ここのみ編集可）'!$BE$17:$BE$116,MATCH($A6&amp;$B6,'計測入力シート（ここのみ編集可）'!$BM$17:$BM$116,0)),"")</f>
        <v>1.026781141</v>
      </c>
      <c r="N6" s="235">
        <f t="array" ref="N6">IFERROR(INDEX('計測入力シート（ここのみ編集可）'!$BN$17:$BN$116,MATCH($A6&amp;$B6,'計測入力シート（ここのみ編集可）'!$BM$17:$BM$116,0)),"")</f>
        <v>2</v>
      </c>
      <c r="O6" s="235" t="str">
        <f t="array" ref="O6">IFERROR(INDEX('計測入力シート（ここのみ編集可）'!$BP$17:$BP$116,MATCH($A6&amp;$B6,'計測入力シート（ここのみ編集可）'!$BM$17:$BM$116,0)),"")</f>
        <v>-</v>
      </c>
      <c r="P6" s="235" t="str">
        <f t="array" ref="P6">IFERROR(INDEX('計測入力シート（ここのみ編集可）'!$BR$17:$BR$116,MATCH($A6&amp;$B6,'計測入力シート（ここのみ編集可）'!$BM$17:$BM$116,0)),"")</f>
        <v>-</v>
      </c>
      <c r="Q6" s="237">
        <f t="array" ref="Q6">IFERROR(INDEX('計測入力シート（ここのみ編集可）'!$BL$17:$BL$116,MATCH($A6&amp;$B6,'計測入力シート（ここのみ編集可）'!$BM$17:$BM$116,0)),"")</f>
        <v>3</v>
      </c>
    </row>
    <row r="7" ht="18.75" customHeight="1">
      <c r="A7" s="86" t="s">
        <v>85</v>
      </c>
      <c r="B7" s="86">
        <v>3.0</v>
      </c>
      <c r="C7" s="86"/>
      <c r="D7" s="238" t="str">
        <f t="array" ref="D7">IFERROR(INDEX('計測入力シート（ここのみ編集可）'!$B$17:$B$116,MATCH($A7&amp;$B7,'計測入力シート（ここのみ編集可）'!$BM$17:$BM$116,0)),"")</f>
        <v>A</v>
      </c>
      <c r="E7" s="233" t="str">
        <f t="array" ref="E7">IFERROR(INDEX('計測入力シート（ここのみ編集可）'!$D$17:$D$116,MATCH($A7&amp;$B7,'計測入力シート（ここのみ編集可）'!$BM$17:$BM$116,0)),"")</f>
        <v>しゃんばり</v>
      </c>
      <c r="F7" s="233" t="str">
        <f t="array" ref="F7">IFERROR(INDEX('計測入力シート（ここのみ編集可）'!$E$17:$E$116,MATCH($A7&amp;$B7,'計測入力シート（ここのみ編集可）'!$BM$17:$BM$116,0)),"")</f>
        <v>VTR</v>
      </c>
      <c r="G7" s="234" t="str">
        <f t="array" ref="G7">IFERROR(INDEX('計測入力シート（ここのみ編集可）'!$AW$17:$AW$116,MATCH($A7&amp;$B7,'計測入力シート（ここのみ編集可）'!$BM$17:$BM$116,0)),"")</f>
        <v>9:99:999</v>
      </c>
      <c r="H7" s="233" t="str">
        <f t="array" ref="H7">IFERROR(INDEX('計測入力シート（ここのみ編集可）'!$AY$17:$AY$116,MATCH($A7&amp;$B7,'計測入力シート（ここのみ編集可）'!$BM$17:$BM$116,0)),"")</f>
        <v>MC</v>
      </c>
      <c r="I7" s="235" t="str">
        <f t="array" ref="I7">IFERROR(INDEX('計測入力シート（ここのみ編集可）'!$AZ$17:$AZ$116,MATCH($A7&amp;$B7,'計測入力シート（ここのみ編集可）'!$BM$17:$BM$116,0)),"")</f>
        <v>9:99:999</v>
      </c>
      <c r="J7" s="233" t="str">
        <f t="array" ref="J7">IFERROR(INDEX('計測入力シート（ここのみ編集可）'!$BB$17:$BB$116,MATCH($A7&amp;$B7,'計測入力シート（ここのみ編集可）'!$BM$17:$BM$116,0)),"")</f>
        <v>MC</v>
      </c>
      <c r="K7" s="235" t="str">
        <f t="array" ref="K7">IFERROR(INDEX('計測入力シート（ここのみ編集可）'!$BC$17:$BC$116,MATCH($A7&amp;$B7,'計測入力シート（ここのみ編集可）'!$BM$17:$BM$116,0)),"")</f>
        <v>9:99:999</v>
      </c>
      <c r="L7" s="236" t="str">
        <f t="array" ref="L7">IFERROR(INDEX('計測入力シート（ここのみ編集可）'!$BD$17:$BD$116,MATCH($A7&amp;$B7,'計測入力シート（ここのみ編集可）'!$BM$17:$BM$116,0)),"")</f>
        <v>-</v>
      </c>
      <c r="M7" s="236" t="str">
        <f t="array" ref="M7">IFERROR(INDEX('計測入力シート（ここのみ編集可）'!$BE$17:$BE$116,MATCH($A7&amp;$B7,'計測入力シート（ここのみ編集可）'!$BM$17:$BM$116,0)),"")</f>
        <v>-</v>
      </c>
      <c r="N7" s="235">
        <f t="array" ref="N7">IFERROR(INDEX('計測入力シート（ここのみ編集可）'!$BN$17:$BN$116,MATCH($A7&amp;$B7,'計測入力シート（ここのみ編集可）'!$BM$17:$BM$116,0)),"")</f>
        <v>3</v>
      </c>
      <c r="O7" s="235" t="str">
        <f t="array" ref="O7">IFERROR(INDEX('計測入力シート（ここのみ編集可）'!$BP$17:$BP$116,MATCH($A7&amp;$B7,'計測入力シート（ここのみ編集可）'!$BM$17:$BM$116,0)),"")</f>
        <v>-</v>
      </c>
      <c r="P7" s="235" t="str">
        <f t="array" ref="P7">IFERROR(INDEX('計測入力シート（ここのみ編集可）'!$BR$17:$BR$116,MATCH($A7&amp;$B7,'計測入力シート（ここのみ編集可）'!$BM$17:$BM$116,0)),"")</f>
        <v>-</v>
      </c>
      <c r="Q7" s="237">
        <f t="array" ref="Q7">IFERROR(INDEX('計測入力シート（ここのみ編集可）'!$BL$17:$BL$116,MATCH($A7&amp;$B7,'計測入力シート（ここのみ編集可）'!$BM$17:$BM$116,0)),"")</f>
        <v>51</v>
      </c>
    </row>
    <row r="8" ht="18.75" customHeight="1">
      <c r="A8" s="86" t="s">
        <v>85</v>
      </c>
      <c r="B8" s="86">
        <v>4.0</v>
      </c>
      <c r="C8" s="86"/>
      <c r="D8" s="238" t="str">
        <f t="array" ref="D8">IFERROR(INDEX('計測入力シート（ここのみ編集可）'!$B$17:$B$116,MATCH($A8&amp;$B8,'計測入力シート（ここのみ編集可）'!$BM$17:$BM$116,0)),"")</f>
        <v>B</v>
      </c>
      <c r="E8" s="233" t="str">
        <f t="array" ref="E8">IFERROR(INDEX('計測入力シート（ここのみ編集可）'!$D$17:$D$116,MATCH($A8&amp;$B8,'計測入力シート（ここのみ編集可）'!$BM$17:$BM$116,0)),"")</f>
        <v>どmの</v>
      </c>
      <c r="F8" s="233" t="str">
        <f t="array" ref="F8">IFERROR(INDEX('計測入力シート（ここのみ編集可）'!$E$17:$E$116,MATCH($A8&amp;$B8,'計測入力シート（ここのみ編集可）'!$BM$17:$BM$116,0)),"")</f>
        <v>CBR600RR</v>
      </c>
      <c r="G8" s="234" t="str">
        <f t="array" ref="G8">IFERROR(INDEX('計測入力シート（ここのみ編集可）'!$AW$17:$AW$116,MATCH($A8&amp;$B8,'計測入力シート（ここのみ編集可）'!$BM$17:$BM$116,0)),"")</f>
        <v>1:51:604</v>
      </c>
      <c r="H8" s="233" t="str">
        <f t="array" ref="H8">IFERROR(INDEX('計測入力シート（ここのみ編集可）'!$AY$17:$AY$116,MATCH($A8&amp;$B8,'計測入力シート（ここのみ編集可）'!$BM$17:$BM$116,0)),"")</f>
        <v>-</v>
      </c>
      <c r="I8" s="235" t="str">
        <f t="array" ref="I8">IFERROR(INDEX('計測入力シート（ここのみ編集可）'!$AZ$17:$AZ$116,MATCH($A8&amp;$B8,'計測入力シート（ここのみ編集可）'!$BM$17:$BM$116,0)),"")</f>
        <v>1:39:460</v>
      </c>
      <c r="J8" s="233" t="str">
        <f t="array" ref="J8">IFERROR(INDEX('計測入力シート（ここのみ編集可）'!$BB$17:$BB$116,MATCH($A8&amp;$B8,'計測入力シート（ここのみ編集可）'!$BM$17:$BM$116,0)),"")</f>
        <v>-</v>
      </c>
      <c r="K8" s="235" t="str">
        <f t="array" ref="K8">IFERROR(INDEX('計測入力シート（ここのみ編集可）'!$BC$17:$BC$116,MATCH($A8&amp;$B8,'計測入力シート（ここのみ編集可）'!$BM$17:$BM$116,0)),"")</f>
        <v>1:39:460</v>
      </c>
      <c r="L8" s="236">
        <f t="array" ref="L8">IFERROR(INDEX('計測入力シート（ここのみ編集可）'!$BD$17:$BD$116,MATCH($A8&amp;$B8,'計測入力シート（ここのみ編集可）'!$BM$17:$BM$116,0)),"")</f>
        <v>1.018994734</v>
      </c>
      <c r="M8" s="236">
        <f t="array" ref="M8">IFERROR(INDEX('計測入力シート（ここのみ編集可）'!$BE$17:$BE$116,MATCH($A8&amp;$B8,'計測入力シート（ここのみ編集可）'!$BM$17:$BM$116,0)),"")</f>
        <v>1.018994734</v>
      </c>
      <c r="N8" s="235">
        <f t="array" ref="N8">IFERROR(INDEX('計測入力シート（ここのみ編集可）'!$BN$17:$BN$116,MATCH($A8&amp;$B8,'計測入力シート（ここのみ編集可）'!$BM$17:$BM$116,0)),"")</f>
        <v>1</v>
      </c>
      <c r="O8" s="235" t="str">
        <f t="array" ref="O8">IFERROR(INDEX('計測入力シート（ここのみ編集可）'!$BP$17:$BP$116,MATCH($A8&amp;$B8,'計測入力シート（ここのみ編集可）'!$BM$17:$BM$116,0)),"")</f>
        <v>-</v>
      </c>
      <c r="P8" s="235" t="str">
        <f t="array" ref="P8">IFERROR(INDEX('計測入力シート（ここのみ編集可）'!$BR$17:$BR$116,MATCH($A8&amp;$B8,'計測入力シート（ここのみ編集可）'!$BM$17:$BM$116,0)),"")</f>
        <v>-</v>
      </c>
      <c r="Q8" s="237">
        <f t="array" ref="Q8">IFERROR(INDEX('計測入力シート（ここのみ編集可）'!$BL$17:$BL$116,MATCH($A8&amp;$B8,'計測入力シート（ここのみ編集可）'!$BM$17:$BM$116,0)),"")</f>
        <v>2</v>
      </c>
    </row>
    <row r="9" ht="18.75" customHeight="1">
      <c r="A9" s="86" t="s">
        <v>85</v>
      </c>
      <c r="B9" s="86">
        <v>5.0</v>
      </c>
      <c r="C9" s="86"/>
      <c r="D9" s="238" t="str">
        <f t="array" ref="D9">IFERROR(INDEX('計測入力シート（ここのみ編集可）'!$B$17:$B$116,MATCH($A9&amp;$B9,'計測入力シート（ここのみ編集可）'!$BM$17:$BM$116,0)),"")</f>
        <v>B</v>
      </c>
      <c r="E9" s="233" t="str">
        <f t="array" ref="E9">IFERROR(INDEX('計測入力シート（ここのみ編集可）'!$D$17:$D$116,MATCH($A9&amp;$B9,'計測入力シート（ここのみ編集可）'!$BM$17:$BM$116,0)),"")</f>
        <v>motoDA</v>
      </c>
      <c r="F9" s="233" t="str">
        <f t="array" ref="F9">IFERROR(INDEX('計測入力シート（ここのみ編集可）'!$E$17:$E$116,MATCH($A9&amp;$B9,'計測入力シート（ここのみ編集可）'!$BM$17:$BM$116,0)),"")</f>
        <v>GROM</v>
      </c>
      <c r="G9" s="234" t="str">
        <f t="array" ref="G9">IFERROR(INDEX('計測入力シート（ここのみ編集可）'!$AW$17:$AW$116,MATCH($A9&amp;$B9,'計測入力シート（ここのみ編集可）'!$BM$17:$BM$116,0)),"")</f>
        <v>1:50:572</v>
      </c>
      <c r="H9" s="233">
        <f t="array" ref="H9">IFERROR(INDEX('計測入力シート（ここのみ編集可）'!$AY$17:$AY$116,MATCH($A9&amp;$B9,'計測入力シート（ここのみ編集可）'!$BM$17:$BM$116,0)),"")</f>
        <v>1</v>
      </c>
      <c r="I9" s="235" t="str">
        <f t="array" ref="I9">IFERROR(INDEX('計測入力シート（ここのみ編集可）'!$AZ$17:$AZ$116,MATCH($A9&amp;$B9,'計測入力シート（ここのみ編集可）'!$BM$17:$BM$116,0)),"")</f>
        <v>1:41:794</v>
      </c>
      <c r="J9" s="233">
        <f t="array" ref="J9">IFERROR(INDEX('計測入力シート（ここのみ編集可）'!$BB$17:$BB$116,MATCH($A9&amp;$B9,'計測入力シート（ここのみ編集可）'!$BM$17:$BM$116,0)),"")</f>
        <v>1</v>
      </c>
      <c r="K9" s="235" t="str">
        <f t="array" ref="K9">IFERROR(INDEX('計測入力シート（ここのみ編集可）'!$BC$17:$BC$116,MATCH($A9&amp;$B9,'計測入力シート（ここのみ編集可）'!$BM$17:$BM$116,0)),"")</f>
        <v>1:42:794</v>
      </c>
      <c r="L9" s="236">
        <f t="array" ref="L9">IFERROR(INDEX('計測入力シート（ここのみ編集可）'!$BD$17:$BD$116,MATCH($A9&amp;$B9,'計測入力シート（ここのみ編集可）'!$BM$17:$BM$116,0)),"")</f>
        <v>1.05315247</v>
      </c>
      <c r="M9" s="236">
        <f t="array" ref="M9">IFERROR(INDEX('計測入力シート（ここのみ編集可）'!$BE$17:$BE$116,MATCH($A9&amp;$B9,'計測入力シート（ここのみ編集可）'!$BM$17:$BM$116,0)),"")</f>
        <v>1.05315247</v>
      </c>
      <c r="N9" s="235">
        <f t="array" ref="N9">IFERROR(INDEX('計測入力シート（ここのみ編集可）'!$BN$17:$BN$116,MATCH($A9&amp;$B9,'計測入力シート（ここのみ編集可）'!$BM$17:$BM$116,0)),"")</f>
        <v>2</v>
      </c>
      <c r="O9" s="235" t="str">
        <f t="array" ref="O9">IFERROR(INDEX('計測入力シート（ここのみ編集可）'!$BP$17:$BP$116,MATCH($A9&amp;$B9,'計測入力シート（ここのみ編集可）'!$BM$17:$BM$116,0)),"")</f>
        <v>-</v>
      </c>
      <c r="P9" s="235" t="str">
        <f t="array" ref="P9">IFERROR(INDEX('計測入力シート（ここのみ編集可）'!$BR$17:$BR$116,MATCH($A9&amp;$B9,'計測入力シート（ここのみ編集可）'!$BM$17:$BM$116,0)),"")</f>
        <v>-</v>
      </c>
      <c r="Q9" s="237">
        <f t="array" ref="Q9">IFERROR(INDEX('計測入力シート（ここのみ編集可）'!$BL$17:$BL$116,MATCH($A9&amp;$B9,'計測入力シート（ここのみ編集可）'!$BM$17:$BM$116,0)),"")</f>
        <v>6</v>
      </c>
    </row>
    <row r="10" ht="18.75" customHeight="1">
      <c r="A10" s="86" t="s">
        <v>85</v>
      </c>
      <c r="B10" s="86">
        <v>6.0</v>
      </c>
      <c r="C10" s="86"/>
      <c r="D10" s="238" t="str">
        <f t="array" ref="D10">IFERROR(INDEX('計測入力シート（ここのみ編集可）'!$B$17:$B$116,MATCH($A10&amp;$B10,'計測入力シート（ここのみ編集可）'!$BM$17:$BM$116,0)),"")</f>
        <v>B</v>
      </c>
      <c r="E10" s="233" t="str">
        <f t="array" ref="E10">IFERROR(INDEX('計測入力シート（ここのみ編集可）'!$D$17:$D$116,MATCH($A10&amp;$B10,'計測入力シート（ここのみ編集可）'!$BM$17:$BM$116,0)),"")</f>
        <v>てくきか</v>
      </c>
      <c r="F10" s="233" t="str">
        <f t="array" ref="F10">IFERROR(INDEX('計測入力シート（ここのみ編集可）'!$E$17:$E$116,MATCH($A10&amp;$B10,'計測入力シート（ここのみ編集可）'!$BM$17:$BM$116,0)),"")</f>
        <v>ZX-4R</v>
      </c>
      <c r="G10" s="234" t="str">
        <f t="array" ref="G10">IFERROR(INDEX('計測入力シート（ここのみ編集可）'!$AW$17:$AW$116,MATCH($A10&amp;$B10,'計測入力シート（ここのみ編集可）'!$BM$17:$BM$116,0)),"")</f>
        <v>1:44:701</v>
      </c>
      <c r="H10" s="233" t="str">
        <f t="array" ref="H10">IFERROR(INDEX('計測入力シート（ここのみ編集可）'!$AY$17:$AY$116,MATCH($A10&amp;$B10,'計測入力シート（ここのみ編集可）'!$BM$17:$BM$116,0)),"")</f>
        <v>-</v>
      </c>
      <c r="I10" s="235" t="str">
        <f t="array" ref="I10">IFERROR(INDEX('計測入力シート（ここのみ編集可）'!$AZ$17:$AZ$116,MATCH($A10&amp;$B10,'計測入力シート（ここのみ編集可）'!$BM$17:$BM$116,0)),"")</f>
        <v>1:44:742</v>
      </c>
      <c r="J10" s="233" t="str">
        <f t="array" ref="J10">IFERROR(INDEX('計測入力シート（ここのみ編集可）'!$BB$17:$BB$116,MATCH($A10&amp;$B10,'計測入力シート（ここのみ編集可）'!$BM$17:$BM$116,0)),"")</f>
        <v>-</v>
      </c>
      <c r="K10" s="235" t="str">
        <f t="array" ref="K10">IFERROR(INDEX('計測入力シート（ここのみ編集可）'!$BC$17:$BC$116,MATCH($A10&amp;$B10,'計測入力シート（ここのみ編集可）'!$BM$17:$BM$116,0)),"")</f>
        <v>1:44:701</v>
      </c>
      <c r="L10" s="236">
        <f t="array" ref="L10">IFERROR(INDEX('計測入力シート（ここのみ編集可）'!$BD$17:$BD$116,MATCH($A10&amp;$B10,'計測入力シート（ここのみ編集可）'!$BM$17:$BM$116,0)),"")</f>
        <v>1.072690203</v>
      </c>
      <c r="M10" s="236">
        <f t="array" ref="M10">IFERROR(INDEX('計測入力シート（ここのみ編集可）'!$BE$17:$BE$116,MATCH($A10&amp;$B10,'計測入力シート（ここのみ編集可）'!$BM$17:$BM$116,0)),"")</f>
        <v>1.072690203</v>
      </c>
      <c r="N10" s="235">
        <f t="array" ref="N10">IFERROR(INDEX('計測入力シート（ここのみ編集可）'!$BN$17:$BN$116,MATCH($A10&amp;$B10,'計測入力シート（ここのみ編集可）'!$BM$17:$BM$116,0)),"")</f>
        <v>3</v>
      </c>
      <c r="O10" s="235" t="str">
        <f t="array" ref="O10">IFERROR(INDEX('計測入力シート（ここのみ編集可）'!$BP$17:$BP$116,MATCH($A10&amp;$B10,'計測入力シート（ここのみ編集可）'!$BM$17:$BM$116,0)),"")</f>
        <v>-</v>
      </c>
      <c r="P10" s="235" t="str">
        <f t="array" ref="P10">IFERROR(INDEX('計測入力シート（ここのみ編集可）'!$BR$17:$BR$116,MATCH($A10&amp;$B10,'計測入力シート（ここのみ編集可）'!$BM$17:$BM$116,0)),"")</f>
        <v>-</v>
      </c>
      <c r="Q10" s="237">
        <f t="array" ref="Q10">IFERROR(INDEX('計測入力シート（ここのみ編集可）'!$BL$17:$BL$116,MATCH($A10&amp;$B10,'計測入力シート（ここのみ編集可）'!$BM$17:$BM$116,0)),"")</f>
        <v>8</v>
      </c>
    </row>
    <row r="11" ht="18.75" customHeight="1">
      <c r="A11" s="86" t="s">
        <v>85</v>
      </c>
      <c r="B11" s="86">
        <v>7.0</v>
      </c>
      <c r="C11" s="86"/>
      <c r="D11" s="238" t="str">
        <f t="array" ref="D11">IFERROR(INDEX('計測入力シート（ここのみ編集可）'!$B$17:$B$116,MATCH($A11&amp;$B11,'計測入力シート（ここのみ編集可）'!$BM$17:$BM$116,0)),"")</f>
        <v>B</v>
      </c>
      <c r="E11" s="233" t="str">
        <f t="array" ref="E11">IFERROR(INDEX('計測入力シート（ここのみ編集可）'!$D$17:$D$116,MATCH($A11&amp;$B11,'計測入力シート（ここのみ編集可）'!$BM$17:$BM$116,0)),"")</f>
        <v>P</v>
      </c>
      <c r="F11" s="233" t="str">
        <f t="array" ref="F11">IFERROR(INDEX('計測入力シート（ここのみ編集可）'!$E$17:$E$116,MATCH($A11&amp;$B11,'計測入力シート（ここのみ編集可）'!$BM$17:$BM$116,0)),"")</f>
        <v>XSR155</v>
      </c>
      <c r="G11" s="234" t="str">
        <f t="array" ref="G11">IFERROR(INDEX('計測入力シート（ここのみ編集可）'!$AW$17:$AW$116,MATCH($A11&amp;$B11,'計測入力シート（ここのみ編集可）'!$BM$17:$BM$116,0)),"")</f>
        <v>1:54:612</v>
      </c>
      <c r="H11" s="233" t="str">
        <f t="array" ref="H11">IFERROR(INDEX('計測入力シート（ここのみ編集可）'!$AY$17:$AY$116,MATCH($A11&amp;$B11,'計測入力シート（ここのみ編集可）'!$BM$17:$BM$116,0)),"")</f>
        <v>-</v>
      </c>
      <c r="I11" s="235" t="str">
        <f t="array" ref="I11">IFERROR(INDEX('計測入力シート（ここのみ編集可）'!$AZ$17:$AZ$116,MATCH($A11&amp;$B11,'計測入力シート（ここのみ編集可）'!$BM$17:$BM$116,0)),"")</f>
        <v>1:54:509</v>
      </c>
      <c r="J11" s="233">
        <f t="array" ref="J11">IFERROR(INDEX('計測入力シート（ここのみ編集可）'!$BB$17:$BB$116,MATCH($A11&amp;$B11,'計測入力シート（ここのみ編集可）'!$BM$17:$BM$116,0)),"")</f>
        <v>2</v>
      </c>
      <c r="K11" s="235" t="str">
        <f t="array" ref="K11">IFERROR(INDEX('計測入力シート（ここのみ編集可）'!$BC$17:$BC$116,MATCH($A11&amp;$B11,'計測入力シート（ここのみ編集可）'!$BM$17:$BM$116,0)),"")</f>
        <v>1:54:612</v>
      </c>
      <c r="L11" s="236">
        <f t="array" ref="L11">IFERROR(INDEX('計測入力シート（ここのみ編集可）'!$BD$17:$BD$116,MATCH($A11&amp;$B11,'計測入力シート（ここのみ編集可）'!$BM$17:$BM$116,0)),"")</f>
        <v>1.174231092</v>
      </c>
      <c r="M11" s="236">
        <f t="array" ref="M11">IFERROR(INDEX('計測入力シート（ここのみ編集可）'!$BE$17:$BE$116,MATCH($A11&amp;$B11,'計測入力シート（ここのみ編集可）'!$BM$17:$BM$116,0)),"")</f>
        <v>1.174231092</v>
      </c>
      <c r="N11" s="235">
        <f t="array" ref="N11">IFERROR(INDEX('計測入力シート（ここのみ編集可）'!$BN$17:$BN$116,MATCH($A11&amp;$B11,'計測入力シート（ここのみ編集可）'!$BM$17:$BM$116,0)),"")</f>
        <v>4</v>
      </c>
      <c r="O11" s="235" t="str">
        <f t="array" ref="O11">IFERROR(INDEX('計測入力シート（ここのみ編集可）'!$BP$17:$BP$116,MATCH($A11&amp;$B11,'計測入力シート（ここのみ編集可）'!$BM$17:$BM$116,0)),"")</f>
        <v>-</v>
      </c>
      <c r="P11" s="235" t="str">
        <f t="array" ref="P11">IFERROR(INDEX('計測入力シート（ここのみ編集可）'!$BR$17:$BR$116,MATCH($A11&amp;$B11,'計測入力シート（ここのみ編集可）'!$BM$17:$BM$116,0)),"")</f>
        <v>-</v>
      </c>
      <c r="Q11" s="237">
        <f t="array" ref="Q11">IFERROR(INDEX('計測入力シート（ここのみ編集可）'!$BL$17:$BL$116,MATCH($A11&amp;$B11,'計測入力シート（ここのみ編集可）'!$BM$17:$BM$116,0)),"")</f>
        <v>31</v>
      </c>
    </row>
    <row r="12" ht="18.75" customHeight="1">
      <c r="A12" s="86" t="s">
        <v>85</v>
      </c>
      <c r="B12" s="86">
        <v>8.0</v>
      </c>
      <c r="C12" s="86"/>
      <c r="D12" s="238" t="str">
        <f t="array" ref="D12">IFERROR(INDEX('計測入力シート（ここのみ編集可）'!$B$17:$B$116,MATCH($A12&amp;$B12,'計測入力シート（ここのみ編集可）'!$BM$17:$BM$116,0)),"")</f>
        <v>C1</v>
      </c>
      <c r="E12" s="233" t="str">
        <f t="array" ref="E12">IFERROR(INDEX('計測入力シート（ここのみ編集可）'!$D$17:$D$116,MATCH($A12&amp;$B12,'計測入力シート（ここのみ編集可）'!$BM$17:$BM$116,0)),"")</f>
        <v>TOKICO</v>
      </c>
      <c r="F12" s="233" t="str">
        <f t="array" ref="F12">IFERROR(INDEX('計測入力シート（ここのみ編集可）'!$E$17:$E$116,MATCH($A12&amp;$B12,'計測入力シート（ここのみ編集可）'!$BM$17:$BM$116,0)),"")</f>
        <v>GSX-R1000</v>
      </c>
      <c r="G12" s="234" t="str">
        <f t="array" ref="G12">IFERROR(INDEX('計測入力シート（ここのみ編集可）'!$AW$17:$AW$116,MATCH($A12&amp;$B12,'計測入力シート（ここのみ編集可）'!$BM$17:$BM$116,0)),"")</f>
        <v>1:51:173</v>
      </c>
      <c r="H12" s="233" t="str">
        <f t="array" ref="H12">IFERROR(INDEX('計測入力シート（ここのみ編集可）'!$AY$17:$AY$116,MATCH($A12&amp;$B12,'計測入力シート（ここのみ編集可）'!$BM$17:$BM$116,0)),"")</f>
        <v>-</v>
      </c>
      <c r="I12" s="235" t="str">
        <f t="array" ref="I12">IFERROR(INDEX('計測入力シート（ここのみ編集可）'!$AZ$17:$AZ$116,MATCH($A12&amp;$B12,'計測入力シート（ここのみ編集可）'!$BM$17:$BM$116,0)),"")</f>
        <v>1:42:366</v>
      </c>
      <c r="J12" s="233" t="str">
        <f t="array" ref="J12">IFERROR(INDEX('計測入力シート（ここのみ編集可）'!$BB$17:$BB$116,MATCH($A12&amp;$B12,'計測入力シート（ここのみ編集可）'!$BM$17:$BM$116,0)),"")</f>
        <v>-</v>
      </c>
      <c r="K12" s="235" t="str">
        <f t="array" ref="K12">IFERROR(INDEX('計測入力シート（ここのみ編集可）'!$BC$17:$BC$116,MATCH($A12&amp;$B12,'計測入力シート（ここのみ編集可）'!$BM$17:$BM$116,0)),"")</f>
        <v>1:42:366</v>
      </c>
      <c r="L12" s="236">
        <f t="array" ref="L12">IFERROR(INDEX('計測入力シート（ここのみ編集可）'!$BD$17:$BD$116,MATCH($A12&amp;$B12,'計測入力シート（ここのみ編集可）'!$BM$17:$BM$116,0)),"")</f>
        <v>1.048767494</v>
      </c>
      <c r="M12" s="236">
        <f t="array" ref="M12">IFERROR(INDEX('計測入力シート（ここのみ編集可）'!$BE$17:$BE$116,MATCH($A12&amp;$B12,'計測入力シート（ここのみ編集可）'!$BM$17:$BM$116,0)),"")</f>
        <v>1.048767494</v>
      </c>
      <c r="N12" s="235">
        <f t="array" ref="N12">IFERROR(INDEX('計測入力シート（ここのみ編集可）'!$BN$17:$BN$116,MATCH($A12&amp;$B12,'計測入力シート（ここのみ編集可）'!$BM$17:$BM$116,0)),"")</f>
        <v>1</v>
      </c>
      <c r="O12" s="235" t="str">
        <f t="array" ref="O12">IFERROR(INDEX('計測入力シート（ここのみ編集可）'!$BP$17:$BP$116,MATCH($A12&amp;$B12,'計測入力シート（ここのみ編集可）'!$BM$17:$BM$116,0)),"")</f>
        <v>-</v>
      </c>
      <c r="P12" s="235" t="str">
        <f t="array" ref="P12">IFERROR(INDEX('計測入力シート（ここのみ編集可）'!$BR$17:$BR$116,MATCH($A12&amp;$B12,'計測入力シート（ここのみ編集可）'!$BM$17:$BM$116,0)),"")</f>
        <v>-</v>
      </c>
      <c r="Q12" s="237">
        <f t="array" ref="Q12">IFERROR(INDEX('計測入力シート（ここのみ編集可）'!$BL$17:$BL$116,MATCH($A12&amp;$B12,'計測入力シート（ここのみ編集可）'!$BM$17:$BM$116,0)),"")</f>
        <v>5</v>
      </c>
    </row>
    <row r="13" ht="18.75" customHeight="1">
      <c r="A13" s="86" t="s">
        <v>85</v>
      </c>
      <c r="B13" s="86">
        <v>9.0</v>
      </c>
      <c r="C13" s="86"/>
      <c r="D13" s="238" t="str">
        <f t="array" ref="D13">IFERROR(INDEX('計測入力シート（ここのみ編集可）'!$B$17:$B$116,MATCH($A13&amp;$B13,'計測入力シート（ここのみ編集可）'!$BM$17:$BM$116,0)),"")</f>
        <v>C1</v>
      </c>
      <c r="E13" s="233" t="str">
        <f t="array" ref="E13">IFERROR(INDEX('計測入力シート（ここのみ編集可）'!$D$17:$D$116,MATCH($A13&amp;$B13,'計測入力シート（ここのみ編集可）'!$BM$17:$BM$116,0)),"")</f>
        <v>しょこら。</v>
      </c>
      <c r="F13" s="233" t="str">
        <f t="array" ref="F13">IFERROR(INDEX('計測入力シート（ここのみ編集可）'!$E$17:$E$116,MATCH($A13&amp;$B13,'計測入力シート（ここのみ編集可）'!$BM$17:$BM$116,0)),"")</f>
        <v>GSX-R600</v>
      </c>
      <c r="G13" s="234" t="str">
        <f t="array" ref="G13">IFERROR(INDEX('計測入力シート（ここのみ編集可）'!$AW$17:$AW$116,MATCH($A13&amp;$B13,'計測入力シート（ここのみ編集可）'!$BM$17:$BM$116,0)),"")</f>
        <v>1:44:866</v>
      </c>
      <c r="H13" s="233">
        <f t="array" ref="H13">IFERROR(INDEX('計測入力シート（ここのみ編集可）'!$AY$17:$AY$116,MATCH($A13&amp;$B13,'計測入力シート（ここのみ編集可）'!$BM$17:$BM$116,0)),"")</f>
        <v>1</v>
      </c>
      <c r="I13" s="235" t="str">
        <f t="array" ref="I13">IFERROR(INDEX('計測入力シート（ここのみ編集可）'!$AZ$17:$AZ$116,MATCH($A13&amp;$B13,'計測入力シート（ここのみ編集可）'!$BM$17:$BM$116,0)),"")</f>
        <v>1:44:224</v>
      </c>
      <c r="J13" s="233" t="str">
        <f t="array" ref="J13">IFERROR(INDEX('計測入力シート（ここのみ編集可）'!$BB$17:$BB$116,MATCH($A13&amp;$B13,'計測入力シート（ここのみ編集可）'!$BM$17:$BM$116,0)),"")</f>
        <v>-</v>
      </c>
      <c r="K13" s="235" t="str">
        <f t="array" ref="K13">IFERROR(INDEX('計測入力シート（ここのみ編集可）'!$BC$17:$BC$116,MATCH($A13&amp;$B13,'計測入力シート（ここのみ編集可）'!$BM$17:$BM$116,0)),"")</f>
        <v>1:44:224</v>
      </c>
      <c r="L13" s="236">
        <f t="array" ref="L13">IFERROR(INDEX('計測入力シート（ここのみ編集可）'!$BD$17:$BD$116,MATCH($A13&amp;$B13,'計測入力シート（ここのみ編集可）'!$BM$17:$BM$116,0)),"")</f>
        <v>1.067803209</v>
      </c>
      <c r="M13" s="236">
        <f t="array" ref="M13">IFERROR(INDEX('計測入力シート（ここのみ編集可）'!$BE$17:$BE$116,MATCH($A13&amp;$B13,'計測入力シート（ここのみ編集可）'!$BM$17:$BM$116,0)),"")</f>
        <v>1.067803209</v>
      </c>
      <c r="N13" s="235">
        <f t="array" ref="N13">IFERROR(INDEX('計測入力シート（ここのみ編集可）'!$BN$17:$BN$116,MATCH($A13&amp;$B13,'計測入力シート（ここのみ編集可）'!$BM$17:$BM$116,0)),"")</f>
        <v>2</v>
      </c>
      <c r="O13" s="235" t="str">
        <f t="array" ref="O13">IFERROR(INDEX('計測入力シート（ここのみ編集可）'!$BP$17:$BP$116,MATCH($A13&amp;$B13,'計測入力シート（ここのみ編集可）'!$BM$17:$BM$116,0)),"")</f>
        <v>-</v>
      </c>
      <c r="P13" s="235" t="str">
        <f t="array" ref="P13">IFERROR(INDEX('計測入力シート（ここのみ編集可）'!$BR$17:$BR$116,MATCH($A13&amp;$B13,'計測入力シート（ここのみ編集可）'!$BM$17:$BM$116,0)),"")</f>
        <v>-</v>
      </c>
      <c r="Q13" s="237">
        <f t="array" ref="Q13">IFERROR(INDEX('計測入力シート（ここのみ編集可）'!$BL$17:$BL$116,MATCH($A13&amp;$B13,'計測入力シート（ここのみ編集可）'!$BM$17:$BM$116,0)),"")</f>
        <v>7</v>
      </c>
    </row>
    <row r="14" ht="18.75" customHeight="1">
      <c r="A14" s="86" t="s">
        <v>85</v>
      </c>
      <c r="B14" s="86">
        <v>10.0</v>
      </c>
      <c r="C14" s="86"/>
      <c r="D14" s="238" t="str">
        <f t="array" ref="D14">IFERROR(INDEX('計測入力シート（ここのみ編集可）'!$B$17:$B$116,MATCH($A14&amp;$B14,'計測入力シート（ここのみ編集可）'!$BM$17:$BM$116,0)),"")</f>
        <v>C1</v>
      </c>
      <c r="E14" s="233" t="str">
        <f t="array" ref="E14">IFERROR(INDEX('計測入力シート（ここのみ編集可）'!$D$17:$D$116,MATCH($A14&amp;$B14,'計測入力シート（ここのみ編集可）'!$BM$17:$BM$116,0)),"")</f>
        <v>角</v>
      </c>
      <c r="F14" s="233" t="str">
        <f t="array" ref="F14">IFERROR(INDEX('計測入力シート（ここのみ編集可）'!$E$17:$E$116,MATCH($A14&amp;$B14,'計測入力シート（ここのみ編集可）'!$BM$17:$BM$116,0)),"")</f>
        <v>SV650</v>
      </c>
      <c r="G14" s="234" t="str">
        <f t="array" ref="G14">IFERROR(INDEX('計測入力シート（ここのみ編集可）'!$AW$17:$AW$116,MATCH($A14&amp;$B14,'計測入力シート（ここのみ編集可）'!$BM$17:$BM$116,0)),"")</f>
        <v>1:43:467</v>
      </c>
      <c r="H14" s="233">
        <f t="array" ref="H14">IFERROR(INDEX('計測入力シート（ここのみ編集可）'!$AY$17:$AY$116,MATCH($A14&amp;$B14,'計測入力シート（ここのみ編集可）'!$BM$17:$BM$116,0)),"")</f>
        <v>2</v>
      </c>
      <c r="I14" s="235" t="str">
        <f t="array" ref="I14">IFERROR(INDEX('計測入力シート（ここのみ編集可）'!$AZ$17:$AZ$116,MATCH($A14&amp;$B14,'計測入力シート（ここのみ編集可）'!$BM$17:$BM$116,0)),"")</f>
        <v>1:44:448</v>
      </c>
      <c r="J14" s="233">
        <f t="array" ref="J14">IFERROR(INDEX('計測入力シート（ここのみ編集可）'!$BB$17:$BB$116,MATCH($A14&amp;$B14,'計測入力シート（ここのみ編集可）'!$BM$17:$BM$116,0)),"")</f>
        <v>1</v>
      </c>
      <c r="K14" s="235" t="str">
        <f t="array" ref="K14">IFERROR(INDEX('計測入力シート（ここのみ編集可）'!$BC$17:$BC$116,MATCH($A14&amp;$B14,'計測入力シート（ここのみ編集可）'!$BM$17:$BM$116,0)),"")</f>
        <v>1:45:448</v>
      </c>
      <c r="L14" s="236">
        <f t="array" ref="L14">IFERROR(INDEX('計測入力シート（ここのみ編集可）'!$BD$17:$BD$116,MATCH($A14&amp;$B14,'計測入力シート（ここのみ編集可）'!$BM$17:$BM$116,0)),"")</f>
        <v>1.080343422</v>
      </c>
      <c r="M14" s="236">
        <f t="array" ref="M14">IFERROR(INDEX('計測入力シート（ここのみ編集可）'!$BE$17:$BE$116,MATCH($A14&amp;$B14,'計測入力シート（ここのみ編集可）'!$BM$17:$BM$116,0)),"")</f>
        <v>1.080343422</v>
      </c>
      <c r="N14" s="235">
        <f t="array" ref="N14">IFERROR(INDEX('計測入力シート（ここのみ編集可）'!$BN$17:$BN$116,MATCH($A14&amp;$B14,'計測入力シート（ここのみ編集可）'!$BM$17:$BM$116,0)),"")</f>
        <v>3</v>
      </c>
      <c r="O14" s="235" t="str">
        <f t="array" ref="O14">IFERROR(INDEX('計測入力シート（ここのみ編集可）'!$BP$17:$BP$116,MATCH($A14&amp;$B14,'計測入力シート（ここのみ編集可）'!$BM$17:$BM$116,0)),"")</f>
        <v>-</v>
      </c>
      <c r="P14" s="235" t="str">
        <f t="array" ref="P14">IFERROR(INDEX('計測入力シート（ここのみ編集可）'!$BR$17:$BR$116,MATCH($A14&amp;$B14,'計測入力シート（ここのみ編集可）'!$BM$17:$BM$116,0)),"")</f>
        <v>-</v>
      </c>
      <c r="Q14" s="237">
        <f t="array" ref="Q14">IFERROR(INDEX('計測入力シート（ここのみ編集可）'!$BL$17:$BL$116,MATCH($A14&amp;$B14,'計測入力シート（ここのみ編集可）'!$BM$17:$BM$116,0)),"")</f>
        <v>9</v>
      </c>
    </row>
    <row r="15" ht="18.75" customHeight="1">
      <c r="A15" s="86" t="s">
        <v>85</v>
      </c>
      <c r="B15" s="86">
        <v>11.0</v>
      </c>
      <c r="C15" s="86"/>
      <c r="D15" s="238" t="str">
        <f t="array" ref="D15">IFERROR(INDEX('計測入力シート（ここのみ編集可）'!$B$17:$B$116,MATCH($A15&amp;$B15,'計測入力シート（ここのみ編集可）'!$BM$17:$BM$116,0)),"")</f>
        <v>C1</v>
      </c>
      <c r="E15" s="233" t="str">
        <f t="array" ref="E15">IFERROR(INDEX('計測入力シート（ここのみ編集可）'!$D$17:$D$116,MATCH($A15&amp;$B15,'計測入力シート（ここのみ編集可）'!$BM$17:$BM$116,0)),"")</f>
        <v>たけし</v>
      </c>
      <c r="F15" s="233" t="str">
        <f t="array" ref="F15">IFERROR(INDEX('計測入力シート（ここのみ編集可）'!$E$17:$E$116,MATCH($A15&amp;$B15,'計測入力シート（ここのみ編集可）'!$BM$17:$BM$116,0)),"")</f>
        <v>YZ250</v>
      </c>
      <c r="G15" s="234" t="str">
        <f t="array" ref="G15">IFERROR(INDEX('計測入力シート（ここのみ編集可）'!$AW$17:$AW$116,MATCH($A15&amp;$B15,'計測入力シート（ここのみ編集可）'!$BM$17:$BM$116,0)),"")</f>
        <v>1:45:500</v>
      </c>
      <c r="H15" s="233" t="str">
        <f t="array" ref="H15">IFERROR(INDEX('計測入力シート（ここのみ編集可）'!$AY$17:$AY$116,MATCH($A15&amp;$B15,'計測入力シート（ここのみ編集可）'!$BM$17:$BM$116,0)),"")</f>
        <v>-</v>
      </c>
      <c r="I15" s="235" t="str">
        <f t="array" ref="I15">IFERROR(INDEX('計測入力シート（ここのみ編集可）'!$AZ$17:$AZ$116,MATCH($A15&amp;$B15,'計測入力シート（ここのみ編集可）'!$BM$17:$BM$116,0)),"")</f>
        <v>9:99:999</v>
      </c>
      <c r="J15" s="233" t="str">
        <f t="array" ref="J15">IFERROR(INDEX('計測入力シート（ここのみ編集可）'!$BB$17:$BB$116,MATCH($A15&amp;$B15,'計測入力シート（ここのみ編集可）'!$BM$17:$BM$116,0)),"")</f>
        <v>MC</v>
      </c>
      <c r="K15" s="235" t="str">
        <f t="array" ref="K15">IFERROR(INDEX('計測入力シート（ここのみ編集可）'!$BC$17:$BC$116,MATCH($A15&amp;$B15,'計測入力シート（ここのみ編集可）'!$BM$17:$BM$116,0)),"")</f>
        <v>1:45:500</v>
      </c>
      <c r="L15" s="236">
        <f t="array" ref="L15">IFERROR(INDEX('計測入力シート（ここのみ編集可）'!$BD$17:$BD$116,MATCH($A15&amp;$B15,'計測入力シート（ここのみ編集可）'!$BM$17:$BM$116,0)),"")</f>
        <v>1.080876176</v>
      </c>
      <c r="M15" s="236">
        <f t="array" ref="M15">IFERROR(INDEX('計測入力シート（ここのみ編集可）'!$BE$17:$BE$116,MATCH($A15&amp;$B15,'計測入力シート（ここのみ編集可）'!$BM$17:$BM$116,0)),"")</f>
        <v>1.080876176</v>
      </c>
      <c r="N15" s="235">
        <f t="array" ref="N15">IFERROR(INDEX('計測入力シート（ここのみ編集可）'!$BN$17:$BN$116,MATCH($A15&amp;$B15,'計測入力シート（ここのみ編集可）'!$BM$17:$BM$116,0)),"")</f>
        <v>4</v>
      </c>
      <c r="O15" s="235" t="str">
        <f t="array" ref="O15">IFERROR(INDEX('計測入力シート（ここのみ編集可）'!$BP$17:$BP$116,MATCH($A15&amp;$B15,'計測入力シート（ここのみ編集可）'!$BM$17:$BM$116,0)),"")</f>
        <v>-</v>
      </c>
      <c r="P15" s="235" t="str">
        <f t="array" ref="P15">IFERROR(INDEX('計測入力シート（ここのみ編集可）'!$BR$17:$BR$116,MATCH($A15&amp;$B15,'計測入力シート（ここのみ編集可）'!$BM$17:$BM$116,0)),"")</f>
        <v>-</v>
      </c>
      <c r="Q15" s="237">
        <f t="array" ref="Q15">IFERROR(INDEX('計測入力シート（ここのみ編集可）'!$BL$17:$BL$116,MATCH($A15&amp;$B15,'計測入力シート（ここのみ編集可）'!$BM$17:$BM$116,0)),"")</f>
        <v>10</v>
      </c>
    </row>
    <row r="16" ht="18.75" customHeight="1">
      <c r="A16" s="86" t="s">
        <v>85</v>
      </c>
      <c r="B16" s="86">
        <v>12.0</v>
      </c>
      <c r="C16" s="86"/>
      <c r="D16" s="238" t="str">
        <f t="array" ref="D16">IFERROR(INDEX('計測入力シート（ここのみ編集可）'!$B$17:$B$116,MATCH($A16&amp;$B16,'計測入力シート（ここのみ編集可）'!$BM$17:$BM$116,0)),"")</f>
        <v>C1</v>
      </c>
      <c r="E16" s="233" t="str">
        <f t="array" ref="E16">IFERROR(INDEX('計測入力シート（ここのみ編集可）'!$D$17:$D$116,MATCH($A16&amp;$B16,'計測入力シート（ここのみ編集可）'!$BM$17:$BM$116,0)),"")</f>
        <v>まろ</v>
      </c>
      <c r="F16" s="233" t="str">
        <f t="array" ref="F16">IFERROR(INDEX('計測入力シート（ここのみ編集可）'!$E$17:$E$116,MATCH($A16&amp;$B16,'計測入力シート（ここのみ編集可）'!$BM$17:$BM$116,0)),"")</f>
        <v>MSX125改</v>
      </c>
      <c r="G16" s="234" t="str">
        <f t="array" ref="G16">IFERROR(INDEX('計測入力シート（ここのみ編集可）'!$AW$17:$AW$116,MATCH($A16&amp;$B16,'計測入力シート（ここのみ編集可）'!$BM$17:$BM$116,0)),"")</f>
        <v>1:46:217</v>
      </c>
      <c r="H16" s="233" t="str">
        <f t="array" ref="H16">IFERROR(INDEX('計測入力シート（ここのみ編集可）'!$AY$17:$AY$116,MATCH($A16&amp;$B16,'計測入力シート（ここのみ編集可）'!$BM$17:$BM$116,0)),"")</f>
        <v>-</v>
      </c>
      <c r="I16" s="235" t="str">
        <f t="array" ref="I16">IFERROR(INDEX('計測入力シート（ここのみ編集可）'!$AZ$17:$AZ$116,MATCH($A16&amp;$B16,'計測入力シート（ここのみ編集可）'!$BM$17:$BM$116,0)),"")</f>
        <v>1:46:801</v>
      </c>
      <c r="J16" s="233" t="str">
        <f t="array" ref="J16">IFERROR(INDEX('計測入力シート（ここのみ編集可）'!$BB$17:$BB$116,MATCH($A16&amp;$B16,'計測入力シート（ここのみ編集可）'!$BM$17:$BM$116,0)),"")</f>
        <v>-</v>
      </c>
      <c r="K16" s="235" t="str">
        <f t="array" ref="K16">IFERROR(INDEX('計測入力シート（ここのみ編集可）'!$BC$17:$BC$116,MATCH($A16&amp;$B16,'計測入力シート（ここのみ編集可）'!$BM$17:$BM$116,0)),"")</f>
        <v>1:46:217</v>
      </c>
      <c r="L16" s="236">
        <f t="array" ref="L16">IFERROR(INDEX('計測入力シート（ここのみ編集可）'!$BD$17:$BD$116,MATCH($A16&amp;$B16,'計測入力シート（ここのみ編集可）'!$BM$17:$BM$116,0)),"")</f>
        <v>1.088222036</v>
      </c>
      <c r="M16" s="236">
        <f t="array" ref="M16">IFERROR(INDEX('計測入力シート（ここのみ編集可）'!$BE$17:$BE$116,MATCH($A16&amp;$B16,'計測入力シート（ここのみ編集可）'!$BM$17:$BM$116,0)),"")</f>
        <v>1.088222036</v>
      </c>
      <c r="N16" s="235">
        <f t="array" ref="N16">IFERROR(INDEX('計測入力シート（ここのみ編集可）'!$BN$17:$BN$116,MATCH($A16&amp;$B16,'計測入力シート（ここのみ編集可）'!$BM$17:$BM$116,0)),"")</f>
        <v>5</v>
      </c>
      <c r="O16" s="235" t="str">
        <f t="array" ref="O16">IFERROR(INDEX('計測入力シート（ここのみ編集可）'!$BP$17:$BP$116,MATCH($A16&amp;$B16,'計測入力シート（ここのみ編集可）'!$BM$17:$BM$116,0)),"")</f>
        <v>-</v>
      </c>
      <c r="P16" s="235" t="str">
        <f t="array" ref="P16">IFERROR(INDEX('計測入力シート（ここのみ編集可）'!$BR$17:$BR$116,MATCH($A16&amp;$B16,'計測入力シート（ここのみ編集可）'!$BM$17:$BM$116,0)),"")</f>
        <v>-</v>
      </c>
      <c r="Q16" s="237">
        <f t="array" ref="Q16">IFERROR(INDEX('計測入力シート（ここのみ編集可）'!$BL$17:$BL$116,MATCH($A16&amp;$B16,'計測入力シート（ここのみ編集可）'!$BM$17:$BM$116,0)),"")</f>
        <v>11</v>
      </c>
    </row>
    <row r="17" ht="18.75" customHeight="1">
      <c r="A17" s="86" t="s">
        <v>85</v>
      </c>
      <c r="B17" s="86">
        <v>13.0</v>
      </c>
      <c r="C17" s="86"/>
      <c r="D17" s="238" t="str">
        <f t="array" ref="D17">IFERROR(INDEX('計測入力シート（ここのみ編集可）'!$B$17:$B$116,MATCH($A17&amp;$B17,'計測入力シート（ここのみ編集可）'!$BM$17:$BM$116,0)),"")</f>
        <v>C1</v>
      </c>
      <c r="E17" s="233" t="str">
        <f t="array" ref="E17">IFERROR(INDEX('計測入力シート（ここのみ編集可）'!$D$17:$D$116,MATCH($A17&amp;$B17,'計測入力シート（ここのみ編集可）'!$BM$17:$BM$116,0)),"")</f>
        <v>岡さーもん</v>
      </c>
      <c r="F17" s="233" t="str">
        <f t="array" ref="F17">IFERROR(INDEX('計測入力シート（ここのみ編集可）'!$E$17:$E$116,MATCH($A17&amp;$B17,'計測入力シート（ここのみ編集可）'!$BM$17:$BM$116,0)),"")</f>
        <v>CBR600RR</v>
      </c>
      <c r="G17" s="234" t="str">
        <f t="array" ref="G17">IFERROR(INDEX('計測入力シート（ここのみ編集可）'!$AW$17:$AW$116,MATCH($A17&amp;$B17,'計測入力シート（ここのみ編集可）'!$BM$17:$BM$116,0)),"")</f>
        <v>9:99:999</v>
      </c>
      <c r="H17" s="233" t="str">
        <f t="array" ref="H17">IFERROR(INDEX('計測入力シート（ここのみ編集可）'!$AY$17:$AY$116,MATCH($A17&amp;$B17,'計測入力シート（ここのみ編集可）'!$BM$17:$BM$116,0)),"")</f>
        <v>MC</v>
      </c>
      <c r="I17" s="235" t="str">
        <f t="array" ref="I17">IFERROR(INDEX('計測入力シート（ここのみ編集可）'!$AZ$17:$AZ$116,MATCH($A17&amp;$B17,'計測入力シート（ここのみ編集可）'!$BM$17:$BM$116,0)),"")</f>
        <v>1:49:711</v>
      </c>
      <c r="J17" s="233" t="str">
        <f t="array" ref="J17">IFERROR(INDEX('計測入力シート（ここのみ編集可）'!$BB$17:$BB$116,MATCH($A17&amp;$B17,'計測入力シート（ここのみ編集可）'!$BM$17:$BM$116,0)),"")</f>
        <v>-</v>
      </c>
      <c r="K17" s="235" t="str">
        <f t="array" ref="K17">IFERROR(INDEX('計測入力シート（ここのみ編集可）'!$BC$17:$BC$116,MATCH($A17&amp;$B17,'計測入力シート（ここのみ編集可）'!$BM$17:$BM$116,0)),"")</f>
        <v>1:49:711</v>
      </c>
      <c r="L17" s="236">
        <f t="array" ref="L17">IFERROR(INDEX('計測入力シート（ここのみ編集可）'!$BD$17:$BD$116,MATCH($A17&amp;$B17,'計測入力シート（ここのみ編集可）'!$BM$17:$BM$116,0)),"")</f>
        <v>1.124019015</v>
      </c>
      <c r="M17" s="236">
        <f t="array" ref="M17">IFERROR(INDEX('計測入力シート（ここのみ編集可）'!$BE$17:$BE$116,MATCH($A17&amp;$B17,'計測入力シート（ここのみ編集可）'!$BM$17:$BM$116,0)),"")</f>
        <v>1.124019015</v>
      </c>
      <c r="N17" s="235">
        <f t="array" ref="N17">IFERROR(INDEX('計測入力シート（ここのみ編集可）'!$BN$17:$BN$116,MATCH($A17&amp;$B17,'計測入力シート（ここのみ編集可）'!$BM$17:$BM$116,0)),"")</f>
        <v>6</v>
      </c>
      <c r="O17" s="235" t="str">
        <f t="array" ref="O17">IFERROR(INDEX('計測入力シート（ここのみ編集可）'!$BP$17:$BP$116,MATCH($A17&amp;$B17,'計測入力シート（ここのみ編集可）'!$BM$17:$BM$116,0)),"")</f>
        <v>-</v>
      </c>
      <c r="P17" s="235" t="str">
        <f t="array" ref="P17">IFERROR(INDEX('計測入力シート（ここのみ編集可）'!$BR$17:$BR$116,MATCH($A17&amp;$B17,'計測入力シート（ここのみ編集可）'!$BM$17:$BM$116,0)),"")</f>
        <v>-</v>
      </c>
      <c r="Q17" s="237">
        <f t="array" ref="Q17">IFERROR(INDEX('計測入力シート（ここのみ編集可）'!$BL$17:$BL$116,MATCH($A17&amp;$B17,'計測入力シート（ここのみ編集可）'!$BM$17:$BM$116,0)),"")</f>
        <v>19</v>
      </c>
    </row>
    <row r="18" ht="18.75" customHeight="1">
      <c r="A18" s="86" t="s">
        <v>85</v>
      </c>
      <c r="B18" s="86">
        <v>14.0</v>
      </c>
      <c r="C18" s="86"/>
      <c r="D18" s="238" t="str">
        <f t="array" ref="D18">IFERROR(INDEX('計測入力シート（ここのみ編集可）'!$B$17:$B$116,MATCH($A18&amp;$B18,'計測入力シート（ここのみ編集可）'!$BM$17:$BM$116,0)),"")</f>
        <v>C1</v>
      </c>
      <c r="E18" s="233" t="str">
        <f t="array" ref="E18">IFERROR(INDEX('計測入力シート（ここのみ編集可）'!$D$17:$D$116,MATCH($A18&amp;$B18,'計測入力シート（ここのみ編集可）'!$BM$17:$BM$116,0)),"")</f>
        <v>とこ山とこ夫</v>
      </c>
      <c r="F18" s="233" t="str">
        <f t="array" ref="F18">IFERROR(INDEX('計測入力シート（ここのみ編集可）'!$E$17:$E$116,MATCH($A18&amp;$B18,'計測入力シート（ここのみ編集可）'!$BM$17:$BM$116,0)),"")</f>
        <v>Z400</v>
      </c>
      <c r="G18" s="234" t="str">
        <f t="array" ref="G18">IFERROR(INDEX('計測入力シート（ここのみ編集可）'!$AW$17:$AW$116,MATCH($A18&amp;$B18,'計測入力シート（ここのみ編集可）'!$BM$17:$BM$116,0)),"")</f>
        <v>1:50:384</v>
      </c>
      <c r="H18" s="233" t="str">
        <f t="array" ref="H18">IFERROR(INDEX('計測入力シート（ここのみ編集可）'!$AY$17:$AY$116,MATCH($A18&amp;$B18,'計測入力シート（ここのみ編集可）'!$BM$17:$BM$116,0)),"")</f>
        <v>-</v>
      </c>
      <c r="I18" s="235" t="str">
        <f t="array" ref="I18">IFERROR(INDEX('計測入力シート（ここのみ編集可）'!$AZ$17:$AZ$116,MATCH($A18&amp;$B18,'計測入力シート（ここのみ編集可）'!$BM$17:$BM$116,0)),"")</f>
        <v>2:29:539</v>
      </c>
      <c r="J18" s="233" t="str">
        <f t="array" ref="J18">IFERROR(INDEX('計測入力シート（ここのみ編集可）'!$BB$17:$BB$116,MATCH($A18&amp;$B18,'計測入力シート（ここのみ編集可）'!$BM$17:$BM$116,0)),"")</f>
        <v>-</v>
      </c>
      <c r="K18" s="235" t="str">
        <f t="array" ref="K18">IFERROR(INDEX('計測入力シート（ここのみ編集可）'!$BC$17:$BC$116,MATCH($A18&amp;$B18,'計測入力シート（ここのみ編集可）'!$BM$17:$BM$116,0)),"")</f>
        <v>1:50:384</v>
      </c>
      <c r="L18" s="236">
        <f t="array" ref="L18">IFERROR(INDEX('計測入力シート（ここのみ編集可）'!$BD$17:$BD$116,MATCH($A18&amp;$B18,'計測入力シート（ここのみ編集可）'!$BM$17:$BM$116,0)),"")</f>
        <v>1.130914083</v>
      </c>
      <c r="M18" s="236">
        <f t="array" ref="M18">IFERROR(INDEX('計測入力シート（ここのみ編集可）'!$BE$17:$BE$116,MATCH($A18&amp;$B18,'計測入力シート（ここのみ編集可）'!$BM$17:$BM$116,0)),"")</f>
        <v>1.130914083</v>
      </c>
      <c r="N18" s="235">
        <f t="array" ref="N18">IFERROR(INDEX('計測入力シート（ここのみ編集可）'!$BN$17:$BN$116,MATCH($A18&amp;$B18,'計測入力シート（ここのみ編集可）'!$BM$17:$BM$116,0)),"")</f>
        <v>7</v>
      </c>
      <c r="O18" s="235" t="str">
        <f t="array" ref="O18">IFERROR(INDEX('計測入力シート（ここのみ編集可）'!$BP$17:$BP$116,MATCH($A18&amp;$B18,'計測入力シート（ここのみ編集可）'!$BM$17:$BM$116,0)),"")</f>
        <v>-</v>
      </c>
      <c r="P18" s="235" t="str">
        <f t="array" ref="P18">IFERROR(INDEX('計測入力シート（ここのみ編集可）'!$BR$17:$BR$116,MATCH($A18&amp;$B18,'計測入力シート（ここのみ編集可）'!$BM$17:$BM$116,0)),"")</f>
        <v>-</v>
      </c>
      <c r="Q18" s="237">
        <f t="array" ref="Q18">IFERROR(INDEX('計測入力シート（ここのみ編集可）'!$BL$17:$BL$116,MATCH($A18&amp;$B18,'計測入力シート（ここのみ編集可）'!$BM$17:$BM$116,0)),"")</f>
        <v>20</v>
      </c>
    </row>
    <row r="19" ht="18.75" customHeight="1">
      <c r="A19" s="86" t="s">
        <v>85</v>
      </c>
      <c r="B19" s="86">
        <v>15.0</v>
      </c>
      <c r="C19" s="86"/>
      <c r="D19" s="238" t="str">
        <f t="array" ref="D19">IFERROR(INDEX('計測入力シート（ここのみ編集可）'!$B$17:$B$116,MATCH($A19&amp;$B19,'計測入力シート（ここのみ編集可）'!$BM$17:$BM$116,0)),"")</f>
        <v>C1</v>
      </c>
      <c r="E19" s="233" t="str">
        <f t="array" ref="E19">IFERROR(INDEX('計測入力シート（ここのみ編集可）'!$D$17:$D$116,MATCH($A19&amp;$B19,'計測入力シート（ここのみ編集可）'!$BM$17:$BM$116,0)),"")</f>
        <v>組長</v>
      </c>
      <c r="F19" s="233" t="str">
        <f t="array" ref="F19">IFERROR(INDEX('計測入力シート（ここのみ編集可）'!$E$17:$E$116,MATCH($A19&amp;$B19,'計測入力シート（ここのみ編集可）'!$BM$17:$BM$116,0)),"")</f>
        <v>GSX-R1000</v>
      </c>
      <c r="G19" s="234" t="str">
        <f t="array" ref="G19">IFERROR(INDEX('計測入力シート（ここのみ編集可）'!$AW$17:$AW$116,MATCH($A19&amp;$B19,'計測入力シート（ここのみ編集可）'!$BM$17:$BM$116,0)),"")</f>
        <v>2:08:005</v>
      </c>
      <c r="H19" s="233" t="str">
        <f t="array" ref="H19">IFERROR(INDEX('計測入力シート（ここのみ編集可）'!$AY$17:$AY$116,MATCH($A19&amp;$B19,'計測入力シート（ここのみ編集可）'!$BM$17:$BM$116,0)),"")</f>
        <v>-</v>
      </c>
      <c r="I19" s="235" t="str">
        <f t="array" ref="I19">IFERROR(INDEX('計測入力シート（ここのみ編集可）'!$AZ$17:$AZ$116,MATCH($A19&amp;$B19,'計測入力シート（ここのみ編集可）'!$BM$17:$BM$116,0)),"")</f>
        <v>2:00:926</v>
      </c>
      <c r="J19" s="233" t="str">
        <f t="array" ref="J19">IFERROR(INDEX('計測入力シート（ここのみ編集可）'!$BB$17:$BB$116,MATCH($A19&amp;$B19,'計測入力シート（ここのみ編集可）'!$BM$17:$BM$116,0)),"")</f>
        <v>-</v>
      </c>
      <c r="K19" s="235" t="str">
        <f t="array" ref="K19">IFERROR(INDEX('計測入力シート（ここのみ編集可）'!$BC$17:$BC$116,MATCH($A19&amp;$B19,'計測入力シート（ここのみ編集可）'!$BM$17:$BM$116,0)),"")</f>
        <v>2:00:926</v>
      </c>
      <c r="L19" s="236">
        <f t="array" ref="L19">IFERROR(INDEX('計測入力シート（ここのみ編集可）'!$BD$17:$BD$116,MATCH($A19&amp;$B19,'計測入力シート（ここのみ編集可）'!$BM$17:$BM$116,0)),"")</f>
        <v>1.238919739</v>
      </c>
      <c r="M19" s="236">
        <f t="array" ref="M19">IFERROR(INDEX('計測入力シート（ここのみ編集可）'!$BE$17:$BE$116,MATCH($A19&amp;$B19,'計測入力シート（ここのみ編集可）'!$BM$17:$BM$116,0)),"")</f>
        <v>1.238919739</v>
      </c>
      <c r="N19" s="235">
        <f t="array" ref="N19">IFERROR(INDEX('計測入力シート（ここのみ編集可）'!$BN$17:$BN$116,MATCH($A19&amp;$B19,'計測入力シート（ここのみ編集可）'!$BM$17:$BM$116,0)),"")</f>
        <v>8</v>
      </c>
      <c r="O19" s="235" t="str">
        <f t="array" ref="O19">IFERROR(INDEX('計測入力シート（ここのみ編集可）'!$BP$17:$BP$116,MATCH($A19&amp;$B19,'計測入力シート（ここのみ編集可）'!$BM$17:$BM$116,0)),"")</f>
        <v>-</v>
      </c>
      <c r="P19" s="235" t="str">
        <f t="array" ref="P19">IFERROR(INDEX('計測入力シート（ここのみ編集可）'!$BR$17:$BR$116,MATCH($A19&amp;$B19,'計測入力シート（ここのみ編集可）'!$BM$17:$BM$116,0)),"")</f>
        <v>-</v>
      </c>
      <c r="Q19" s="237">
        <f t="array" ref="Q19">IFERROR(INDEX('計測入力シート（ここのみ編集可）'!$BL$17:$BL$116,MATCH($A19&amp;$B19,'計測入力シート（ここのみ編集可）'!$BM$17:$BM$116,0)),"")</f>
        <v>41</v>
      </c>
    </row>
    <row r="20" ht="18.75" customHeight="1">
      <c r="A20" s="86" t="s">
        <v>85</v>
      </c>
      <c r="B20" s="86">
        <v>16.0</v>
      </c>
      <c r="C20" s="86"/>
      <c r="D20" s="238" t="str">
        <f t="array" ref="D20">IFERROR(INDEX('計測入力シート（ここのみ編集可）'!$B$17:$B$116,MATCH($A20&amp;$B20,'計測入力シート（ここのみ編集可）'!$BM$17:$BM$116,0)),"")</f>
        <v>C1</v>
      </c>
      <c r="E20" s="233" t="str">
        <f t="array" ref="E20">IFERROR(INDEX('計測入力シート（ここのみ編集可）'!$D$17:$D$116,MATCH($A20&amp;$B20,'計測入力シート（ここのみ編集可）'!$BM$17:$BM$116,0)),"")</f>
        <v>もんじろう</v>
      </c>
      <c r="F20" s="233" t="str">
        <f t="array" ref="F20">IFERROR(INDEX('計測入力シート（ここのみ編集可）'!$E$17:$E$116,MATCH($A20&amp;$B20,'計測入力シート（ここのみ編集可）'!$BM$17:$BM$116,0)),"")</f>
        <v>WR450F</v>
      </c>
      <c r="G20" s="234" t="str">
        <f t="array" ref="G20">IFERROR(INDEX('計測入力シート（ここのみ編集可）'!$AW$17:$AW$116,MATCH($A20&amp;$B20,'計測入力シート（ここのみ編集可）'!$BM$17:$BM$116,0)),"")</f>
        <v>DNS</v>
      </c>
      <c r="H20" s="233" t="str">
        <f t="array" ref="H20">IFERROR(INDEX('計測入力シート（ここのみ編集可）'!$AY$17:$AY$116,MATCH($A20&amp;$B20,'計測入力シート（ここのみ編集可）'!$BM$17:$BM$116,0)),"")</f>
        <v>-</v>
      </c>
      <c r="I20" s="235" t="str">
        <f t="array" ref="I20">IFERROR(INDEX('計測入力シート（ここのみ編集可）'!$AZ$17:$AZ$116,MATCH($A20&amp;$B20,'計測入力シート（ここのみ編集可）'!$BM$17:$BM$116,0)),"")</f>
        <v>DNS</v>
      </c>
      <c r="J20" s="233" t="str">
        <f t="array" ref="J20">IFERROR(INDEX('計測入力シート（ここのみ編集可）'!$BB$17:$BB$116,MATCH($A20&amp;$B20,'計測入力シート（ここのみ編集可）'!$BM$17:$BM$116,0)),"")</f>
        <v>-</v>
      </c>
      <c r="K20" s="235" t="str">
        <f t="array" ref="K20">IFERROR(INDEX('計測入力シート（ここのみ編集可）'!$BC$17:$BC$116,MATCH($A20&amp;$B20,'計測入力シート（ここのみ編集可）'!$BM$17:$BM$116,0)),"")</f>
        <v>DNS</v>
      </c>
      <c r="L20" s="236" t="str">
        <f t="array" ref="L20">IFERROR(INDEX('計測入力シート（ここのみ編集可）'!$BD$17:$BD$116,MATCH($A20&amp;$B20,'計測入力シート（ここのみ編集可）'!$BM$17:$BM$116,0)),"")</f>
        <v>-</v>
      </c>
      <c r="M20" s="236" t="str">
        <f t="array" ref="M20">IFERROR(INDEX('計測入力シート（ここのみ編集可）'!$BE$17:$BE$116,MATCH($A20&amp;$B20,'計測入力シート（ここのみ編集可）'!$BM$17:$BM$116,0)),"")</f>
        <v>-</v>
      </c>
      <c r="N20" s="235" t="str">
        <f t="array" ref="N20">IFERROR(INDEX('計測入力シート（ここのみ編集可）'!$BN$17:$BN$116,MATCH($A20&amp;$B20,'計測入力シート（ここのみ編集可）'!$BM$17:$BM$116,0)),"")</f>
        <v>-</v>
      </c>
      <c r="O20" s="235" t="str">
        <f t="array" ref="O20">IFERROR(INDEX('計測入力シート（ここのみ編集可）'!$BP$17:$BP$116,MATCH($A20&amp;$B20,'計測入力シート（ここのみ編集可）'!$BM$17:$BM$116,0)),"")</f>
        <v>-</v>
      </c>
      <c r="P20" s="235" t="str">
        <f t="array" ref="P20">IFERROR(INDEX('計測入力シート（ここのみ編集可）'!$BR$17:$BR$116,MATCH($A20&amp;$B20,'計測入力シート（ここのみ編集可）'!$BM$17:$BM$116,0)),"")</f>
        <v>-</v>
      </c>
      <c r="Q20" s="237" t="str">
        <f t="array" ref="Q20">IFERROR(INDEX('計測入力シート（ここのみ編集可）'!$BL$17:$BL$116,MATCH($A20&amp;$B20,'計測入力シート（ここのみ編集可）'!$BM$17:$BM$116,0)),"")</f>
        <v>-</v>
      </c>
    </row>
    <row r="21" ht="18.75" customHeight="1">
      <c r="A21" s="86" t="s">
        <v>85</v>
      </c>
      <c r="B21" s="86">
        <v>17.0</v>
      </c>
      <c r="C21" s="86"/>
      <c r="D21" s="238" t="str">
        <f t="array" ref="D21">IFERROR(INDEX('計測入力シート（ここのみ編集可）'!$B$17:$B$116,MATCH($A21&amp;$B21,'計測入力シート（ここのみ編集可）'!$BM$17:$BM$116,0)),"")</f>
        <v>C1</v>
      </c>
      <c r="E21" s="233" t="str">
        <f t="array" ref="E21">IFERROR(INDEX('計測入力シート（ここのみ編集可）'!$D$17:$D$116,MATCH($A21&amp;$B21,'計測入力シート（ここのみ編集可）'!$BM$17:$BM$116,0)),"")</f>
        <v>kota</v>
      </c>
      <c r="F21" s="233" t="str">
        <f t="array" ref="F21">IFERROR(INDEX('計測入力シート（ここのみ編集可）'!$E$17:$E$116,MATCH($A21&amp;$B21,'計測入力シート（ここのみ編集可）'!$BM$17:$BM$116,0)),"")</f>
        <v>GROM</v>
      </c>
      <c r="G21" s="234" t="str">
        <f t="array" ref="G21">IFERROR(INDEX('計測入力シート（ここのみ編集可）'!$AW$17:$AW$116,MATCH($A21&amp;$B21,'計測入力シート（ここのみ編集可）'!$BM$17:$BM$116,0)),"")</f>
        <v>DNS</v>
      </c>
      <c r="H21" s="233" t="str">
        <f t="array" ref="H21">IFERROR(INDEX('計測入力シート（ここのみ編集可）'!$AY$17:$AY$116,MATCH($A21&amp;$B21,'計測入力シート（ここのみ編集可）'!$BM$17:$BM$116,0)),"")</f>
        <v>-</v>
      </c>
      <c r="I21" s="235" t="str">
        <f t="array" ref="I21">IFERROR(INDEX('計測入力シート（ここのみ編集可）'!$AZ$17:$AZ$116,MATCH($A21&amp;$B21,'計測入力シート（ここのみ編集可）'!$BM$17:$BM$116,0)),"")</f>
        <v>DNS</v>
      </c>
      <c r="J21" s="233" t="str">
        <f t="array" ref="J21">IFERROR(INDEX('計測入力シート（ここのみ編集可）'!$BB$17:$BB$116,MATCH($A21&amp;$B21,'計測入力シート（ここのみ編集可）'!$BM$17:$BM$116,0)),"")</f>
        <v>-</v>
      </c>
      <c r="K21" s="235" t="str">
        <f t="array" ref="K21">IFERROR(INDEX('計測入力シート（ここのみ編集可）'!$BC$17:$BC$116,MATCH($A21&amp;$B21,'計測入力シート（ここのみ編集可）'!$BM$17:$BM$116,0)),"")</f>
        <v>DNS</v>
      </c>
      <c r="L21" s="236" t="str">
        <f t="array" ref="L21">IFERROR(INDEX('計測入力シート（ここのみ編集可）'!$BD$17:$BD$116,MATCH($A21&amp;$B21,'計測入力シート（ここのみ編集可）'!$BM$17:$BM$116,0)),"")</f>
        <v>-</v>
      </c>
      <c r="M21" s="236" t="str">
        <f t="array" ref="M21">IFERROR(INDEX('計測入力シート（ここのみ編集可）'!$BE$17:$BE$116,MATCH($A21&amp;$B21,'計測入力シート（ここのみ編集可）'!$BM$17:$BM$116,0)),"")</f>
        <v>-</v>
      </c>
      <c r="N21" s="235" t="str">
        <f t="array" ref="N21">IFERROR(INDEX('計測入力シート（ここのみ編集可）'!$BN$17:$BN$116,MATCH($A21&amp;$B21,'計測入力シート（ここのみ編集可）'!$BM$17:$BM$116,0)),"")</f>
        <v>-</v>
      </c>
      <c r="O21" s="235" t="str">
        <f t="array" ref="O21">IFERROR(INDEX('計測入力シート（ここのみ編集可）'!$BP$17:$BP$116,MATCH($A21&amp;$B21,'計測入力シート（ここのみ編集可）'!$BM$17:$BM$116,0)),"")</f>
        <v>-</v>
      </c>
      <c r="P21" s="235" t="str">
        <f t="array" ref="P21">IFERROR(INDEX('計測入力シート（ここのみ編集可）'!$BR$17:$BR$116,MATCH($A21&amp;$B21,'計測入力シート（ここのみ編集可）'!$BM$17:$BM$116,0)),"")</f>
        <v>-</v>
      </c>
      <c r="Q21" s="237" t="str">
        <f t="array" ref="Q21">IFERROR(INDEX('計測入力シート（ここのみ編集可）'!$BL$17:$BL$116,MATCH($A21&amp;$B21,'計測入力シート（ここのみ編集可）'!$BM$17:$BM$116,0)),"")</f>
        <v>-</v>
      </c>
    </row>
    <row r="22" ht="18.75" customHeight="1">
      <c r="A22" s="86" t="s">
        <v>85</v>
      </c>
      <c r="B22" s="86">
        <v>18.0</v>
      </c>
      <c r="C22" s="86"/>
      <c r="D22" s="238" t="str">
        <f t="array" ref="D22">IFERROR(INDEX('計測入力シート（ここのみ編集可）'!$B$17:$B$116,MATCH($A22&amp;$B22,'計測入力シート（ここのみ編集可）'!$BM$17:$BM$116,0)),"")</f>
        <v>C2</v>
      </c>
      <c r="E22" s="233" t="str">
        <f t="array" ref="E22">IFERROR(INDEX('計測入力シート（ここのみ編集可）'!$D$17:$D$116,MATCH($A22&amp;$B22,'計測入力シート（ここのみ編集可）'!$BM$17:$BM$116,0)),"")</f>
        <v>かねなしんちゃん</v>
      </c>
      <c r="F22" s="233" t="str">
        <f t="array" ref="F22">IFERROR(INDEX('計測入力シート（ここのみ編集可）'!$E$17:$E$116,MATCH($A22&amp;$B22,'計測入力シート（ここのみ編集可）'!$BM$17:$BM$116,0)),"")</f>
        <v>NINJA400</v>
      </c>
      <c r="G22" s="234" t="str">
        <f t="array" ref="G22">IFERROR(INDEX('計測入力シート（ここのみ編集可）'!$AW$17:$AW$116,MATCH($A22&amp;$B22,'計測入力シート（ここのみ編集可）'!$BM$17:$BM$116,0)),"")</f>
        <v>1:41:725</v>
      </c>
      <c r="H22" s="233" t="str">
        <f t="array" ref="H22">IFERROR(INDEX('計測入力シート（ここのみ編集可）'!$AY$17:$AY$116,MATCH($A22&amp;$B22,'計測入力シート（ここのみ編集可）'!$BM$17:$BM$116,0)),"")</f>
        <v>-</v>
      </c>
      <c r="I22" s="235" t="str">
        <f t="array" ref="I22">IFERROR(INDEX('計測入力シート（ここのみ編集可）'!$AZ$17:$AZ$116,MATCH($A22&amp;$B22,'計測入力シート（ここのみ編集可）'!$BM$17:$BM$116,0)),"")</f>
        <v>1:41:475</v>
      </c>
      <c r="J22" s="233" t="str">
        <f t="array" ref="J22">IFERROR(INDEX('計測入力シート（ここのみ編集可）'!$BB$17:$BB$116,MATCH($A22&amp;$B22,'計測入力シート（ここのみ編集可）'!$BM$17:$BM$116,0)),"")</f>
        <v>-</v>
      </c>
      <c r="K22" s="235" t="str">
        <f t="array" ref="K22">IFERROR(INDEX('計測入力シート（ここのみ編集可）'!$BC$17:$BC$116,MATCH($A22&amp;$B22,'計測入力シート（ここのみ編集可）'!$BM$17:$BM$116,0)),"")</f>
        <v>1:41:475</v>
      </c>
      <c r="L22" s="236">
        <f t="array" ref="L22">IFERROR(INDEX('計測入力シート（ここのみ編集可）'!$BD$17:$BD$116,MATCH($A22&amp;$B22,'計測入力シート（ここのみ編集可）'!$BM$17:$BM$116,0)),"")</f>
        <v>1.039638957</v>
      </c>
      <c r="M22" s="236">
        <f t="array" ref="M22">IFERROR(INDEX('計測入力シート（ここのみ編集可）'!$BE$17:$BE$116,MATCH($A22&amp;$B22,'計測入力シート（ここのみ編集可）'!$BM$17:$BM$116,0)),"")</f>
        <v>1.039638957</v>
      </c>
      <c r="N22" s="235">
        <f t="array" ref="N22">IFERROR(INDEX('計測入力シート（ここのみ編集可）'!$BN$17:$BN$116,MATCH($A22&amp;$B22,'計測入力シート（ここのみ編集可）'!$BM$17:$BM$116,0)),"")</f>
        <v>1</v>
      </c>
      <c r="O22" s="235" t="str">
        <f t="array" ref="O22">IFERROR(INDEX('計測入力シート（ここのみ編集可）'!$BP$17:$BP$116,MATCH($A22&amp;$B22,'計測入力シート（ここのみ編集可）'!$BM$17:$BM$116,0)),"")</f>
        <v>-</v>
      </c>
      <c r="P22" s="235" t="str">
        <f t="array" ref="P22">IFERROR(INDEX('計測入力シート（ここのみ編集可）'!$BR$17:$BR$116,MATCH($A22&amp;$B22,'計測入力シート（ここのみ編集可）'!$BM$17:$BM$116,0)),"")</f>
        <v>-</v>
      </c>
      <c r="Q22" s="237">
        <f t="array" ref="Q22">IFERROR(INDEX('計測入力シート（ここのみ編集可）'!$BL$17:$BL$116,MATCH($A22&amp;$B22,'計測入力シート（ここのみ編集可）'!$BM$17:$BM$116,0)),"")</f>
        <v>4</v>
      </c>
    </row>
    <row r="23" ht="18.75" customHeight="1">
      <c r="A23" s="86" t="s">
        <v>85</v>
      </c>
      <c r="B23" s="86">
        <v>19.0</v>
      </c>
      <c r="C23" s="86"/>
      <c r="D23" s="238" t="str">
        <f t="array" ref="D23">IFERROR(INDEX('計測入力シート（ここのみ編集可）'!$B$17:$B$116,MATCH($A23&amp;$B23,'計測入力シート（ここのみ編集可）'!$BM$17:$BM$116,0)),"")</f>
        <v>C2</v>
      </c>
      <c r="E23" s="233" t="str">
        <f t="array" ref="E23">IFERROR(INDEX('計測入力シート（ここのみ編集可）'!$D$17:$D$116,MATCH($A23&amp;$B23,'計測入力シート（ここのみ編集可）'!$BM$17:$BM$116,0)),"")</f>
        <v>TAM</v>
      </c>
      <c r="F23" s="233" t="str">
        <f t="array" ref="F23">IFERROR(INDEX('計測入力シート（ここのみ編集可）'!$E$17:$E$116,MATCH($A23&amp;$B23,'計測入力シート（ここのみ編集可）'!$BM$17:$BM$116,0)),"")</f>
        <v>GROM</v>
      </c>
      <c r="G23" s="234" t="str">
        <f t="array" ref="G23">IFERROR(INDEX('計測入力シート（ここのみ編集可）'!$AW$17:$AW$116,MATCH($A23&amp;$B23,'計測入力シート（ここのみ編集可）'!$BM$17:$BM$116,0)),"")</f>
        <v>1:57:197</v>
      </c>
      <c r="H23" s="233" t="str">
        <f t="array" ref="H23">IFERROR(INDEX('計測入力シート（ここのみ編集可）'!$AY$17:$AY$116,MATCH($A23&amp;$B23,'計測入力シート（ここのみ編集可）'!$BM$17:$BM$116,0)),"")</f>
        <v>-</v>
      </c>
      <c r="I23" s="235" t="str">
        <f t="array" ref="I23">IFERROR(INDEX('計測入力シート（ここのみ編集可）'!$AZ$17:$AZ$116,MATCH($A23&amp;$B23,'計測入力シート（ここのみ編集可）'!$BM$17:$BM$116,0)),"")</f>
        <v>1:46:979</v>
      </c>
      <c r="J23" s="233" t="str">
        <f t="array" ref="J23">IFERROR(INDEX('計測入力シート（ここのみ編集可）'!$BB$17:$BB$116,MATCH($A23&amp;$B23,'計測入力シート（ここのみ編集可）'!$BM$17:$BM$116,0)),"")</f>
        <v>-</v>
      </c>
      <c r="K23" s="235" t="str">
        <f t="array" ref="K23">IFERROR(INDEX('計測入力シート（ここのみ編集可）'!$BC$17:$BC$116,MATCH($A23&amp;$B23,'計測入力シート（ここのみ編集可）'!$BM$17:$BM$116,0)),"")</f>
        <v>1:46:979</v>
      </c>
      <c r="L23" s="236">
        <f t="array" ref="L23">IFERROR(INDEX('計測入力シート（ここのみ編集可）'!$BD$17:$BD$116,MATCH($A23&amp;$B23,'計測入力シート（ここのみ編集可）'!$BM$17:$BM$116,0)),"")</f>
        <v>1.096028933</v>
      </c>
      <c r="M23" s="236">
        <f t="array" ref="M23">IFERROR(INDEX('計測入力シート（ここのみ編集可）'!$BE$17:$BE$116,MATCH($A23&amp;$B23,'計測入力シート（ここのみ編集可）'!$BM$17:$BM$116,0)),"")</f>
        <v>1.096028933</v>
      </c>
      <c r="N23" s="235">
        <f t="array" ref="N23">IFERROR(INDEX('計測入力シート（ここのみ編集可）'!$BN$17:$BN$116,MATCH($A23&amp;$B23,'計測入力シート（ここのみ編集可）'!$BM$17:$BM$116,0)),"")</f>
        <v>2</v>
      </c>
      <c r="O23" s="235" t="str">
        <f t="array" ref="O23">IFERROR(INDEX('計測入力シート（ここのみ編集可）'!$BP$17:$BP$116,MATCH($A23&amp;$B23,'計測入力シート（ここのみ編集可）'!$BM$17:$BM$116,0)),"")</f>
        <v>-</v>
      </c>
      <c r="P23" s="235" t="str">
        <f t="array" ref="P23">IFERROR(INDEX('計測入力シート（ここのみ編集可）'!$BR$17:$BR$116,MATCH($A23&amp;$B23,'計測入力シート（ここのみ編集可）'!$BM$17:$BM$116,0)),"")</f>
        <v>-</v>
      </c>
      <c r="Q23" s="237">
        <f t="array" ref="Q23">IFERROR(INDEX('計測入力シート（ここのみ編集可）'!$BL$17:$BL$116,MATCH($A23&amp;$B23,'計測入力シート（ここのみ編集可）'!$BM$17:$BM$116,0)),"")</f>
        <v>12</v>
      </c>
    </row>
    <row r="24" ht="18.75" customHeight="1">
      <c r="A24" s="86" t="s">
        <v>85</v>
      </c>
      <c r="B24" s="86">
        <v>20.0</v>
      </c>
      <c r="C24" s="86"/>
      <c r="D24" s="238" t="str">
        <f t="array" ref="D24">IFERROR(INDEX('計測入力シート（ここのみ編集可）'!$B$17:$B$116,MATCH($A24&amp;$B24,'計測入力シート（ここのみ編集可）'!$BM$17:$BM$116,0)),"")</f>
        <v>C2</v>
      </c>
      <c r="E24" s="233" t="str">
        <f t="array" ref="E24">IFERROR(INDEX('計測入力シート（ここのみ編集可）'!$D$17:$D$116,MATCH($A24&amp;$B24,'計測入力シート（ここのみ編集可）'!$BM$17:$BM$116,0)),"")</f>
        <v>浅野智博</v>
      </c>
      <c r="F24" s="233" t="str">
        <f t="array" ref="F24">IFERROR(INDEX('計測入力シート（ここのみ編集可）'!$E$17:$E$116,MATCH($A24&amp;$B24,'計測入力シート（ここのみ編集可）'!$BM$17:$BM$116,0)),"")</f>
        <v>YZ250FX</v>
      </c>
      <c r="G24" s="234" t="str">
        <f t="array" ref="G24">IFERROR(INDEX('計測入力シート（ここのみ編集可）'!$AW$17:$AW$116,MATCH($A24&amp;$B24,'計測入力シート（ここのみ編集可）'!$BM$17:$BM$116,0)),"")</f>
        <v>9:99:999</v>
      </c>
      <c r="H24" s="233" t="str">
        <f t="array" ref="H24">IFERROR(INDEX('計測入力シート（ここのみ編集可）'!$AY$17:$AY$116,MATCH($A24&amp;$B24,'計測入力シート（ここのみ編集可）'!$BM$17:$BM$116,0)),"")</f>
        <v>MC</v>
      </c>
      <c r="I24" s="235" t="str">
        <f t="array" ref="I24">IFERROR(INDEX('計測入力シート（ここのみ編集可）'!$AZ$17:$AZ$116,MATCH($A24&amp;$B24,'計測入力シート（ここのみ編集可）'!$BM$17:$BM$116,0)),"")</f>
        <v>1:47:833</v>
      </c>
      <c r="J24" s="233" t="str">
        <f t="array" ref="J24">IFERROR(INDEX('計測入力シート（ここのみ編集可）'!$BB$17:$BB$116,MATCH($A24&amp;$B24,'計測入力シート（ここのみ編集可）'!$BM$17:$BM$116,0)),"")</f>
        <v>-</v>
      </c>
      <c r="K24" s="235" t="str">
        <f t="array" ref="K24">IFERROR(INDEX('計測入力シート（ここのみ編集可）'!$BC$17:$BC$116,MATCH($A24&amp;$B24,'計測入力シート（ここのみ編集可）'!$BM$17:$BM$116,0)),"")</f>
        <v>1:47:833</v>
      </c>
      <c r="L24" s="236">
        <f t="array" ref="L24">IFERROR(INDEX('計測入力シート（ここのみ編集可）'!$BD$17:$BD$116,MATCH($A24&amp;$B24,'計測入力シート（ここのみ編集可）'!$BM$17:$BM$116,0)),"")</f>
        <v>1.104778395</v>
      </c>
      <c r="M24" s="236">
        <f t="array" ref="M24">IFERROR(INDEX('計測入力シート（ここのみ編集可）'!$BE$17:$BE$116,MATCH($A24&amp;$B24,'計測入力シート（ここのみ編集可）'!$BM$17:$BM$116,0)),"")</f>
        <v>1.104778395</v>
      </c>
      <c r="N24" s="235">
        <f t="array" ref="N24">IFERROR(INDEX('計測入力シート（ここのみ編集可）'!$BN$17:$BN$116,MATCH($A24&amp;$B24,'計測入力シート（ここのみ編集可）'!$BM$17:$BM$116,0)),"")</f>
        <v>3</v>
      </c>
      <c r="O24" s="235" t="str">
        <f t="array" ref="O24">IFERROR(INDEX('計測入力シート（ここのみ編集可）'!$BP$17:$BP$116,MATCH($A24&amp;$B24,'計測入力シート（ここのみ編集可）'!$BM$17:$BM$116,0)),"")</f>
        <v>-</v>
      </c>
      <c r="P24" s="235" t="str">
        <f t="array" ref="P24">IFERROR(INDEX('計測入力シート（ここのみ編集可）'!$BR$17:$BR$116,MATCH($A24&amp;$B24,'計測入力シート（ここのみ編集可）'!$BM$17:$BM$116,0)),"")</f>
        <v>-</v>
      </c>
      <c r="Q24" s="237">
        <f t="array" ref="Q24">IFERROR(INDEX('計測入力シート（ここのみ編集可）'!$BL$17:$BL$116,MATCH($A24&amp;$B24,'計測入力シート（ここのみ編集可）'!$BM$17:$BM$116,0)),"")</f>
        <v>14</v>
      </c>
    </row>
    <row r="25" ht="18.75" customHeight="1">
      <c r="A25" s="86" t="s">
        <v>85</v>
      </c>
      <c r="B25" s="86">
        <v>21.0</v>
      </c>
      <c r="C25" s="86"/>
      <c r="D25" s="238" t="str">
        <f t="array" ref="D25">IFERROR(INDEX('計測入力シート（ここのみ編集可）'!$B$17:$B$116,MATCH($A25&amp;$B25,'計測入力シート（ここのみ編集可）'!$BM$17:$BM$116,0)),"")</f>
        <v>C2</v>
      </c>
      <c r="E25" s="233" t="str">
        <f t="array" ref="E25">IFERROR(INDEX('計測入力シート（ここのみ編集可）'!$D$17:$D$116,MATCH($A25&amp;$B25,'計測入力シート（ここのみ編集可）'!$BM$17:$BM$116,0)),"")</f>
        <v>ひろ</v>
      </c>
      <c r="F25" s="233" t="str">
        <f t="array" ref="F25">IFERROR(INDEX('計測入力シート（ここのみ編集可）'!$E$17:$E$116,MATCH($A25&amp;$B25,'計測入力シート（ここのみ編集可）'!$BM$17:$BM$116,0)),"")</f>
        <v>NSR250R</v>
      </c>
      <c r="G25" s="234" t="str">
        <f t="array" ref="G25">IFERROR(INDEX('計測入力シート（ここのみ編集可）'!$AW$17:$AW$116,MATCH($A25&amp;$B25,'計測入力シート（ここのみ編集可）'!$BM$17:$BM$116,0)),"")</f>
        <v>1:52:265</v>
      </c>
      <c r="H25" s="233" t="str">
        <f t="array" ref="H25">IFERROR(INDEX('計測入力シート（ここのみ編集可）'!$AY$17:$AY$116,MATCH($A25&amp;$B25,'計測入力シート（ここのみ編集可）'!$BM$17:$BM$116,0)),"")</f>
        <v>-</v>
      </c>
      <c r="I25" s="235" t="str">
        <f t="array" ref="I25">IFERROR(INDEX('計測入力シート（ここのみ編集可）'!$AZ$17:$AZ$116,MATCH($A25&amp;$B25,'計測入力シート（ここのみ編集可）'!$BM$17:$BM$116,0)),"")</f>
        <v>1:49:637</v>
      </c>
      <c r="J25" s="233" t="str">
        <f t="array" ref="J25">IFERROR(INDEX('計測入力シート（ここのみ編集可）'!$BB$17:$BB$116,MATCH($A25&amp;$B25,'計測入力シート（ここのみ編集可）'!$BM$17:$BM$116,0)),"")</f>
        <v>-</v>
      </c>
      <c r="K25" s="235" t="str">
        <f t="array" ref="K25">IFERROR(INDEX('計測入力シート（ここのみ編集可）'!$BC$17:$BC$116,MATCH($A25&amp;$B25,'計測入力シート（ここのみ編集可）'!$BM$17:$BM$116,0)),"")</f>
        <v>1:49:637</v>
      </c>
      <c r="L25" s="236">
        <f t="array" ref="L25">IFERROR(INDEX('計測入力シート（ここのみ編集可）'!$BD$17:$BD$116,MATCH($A25&amp;$B25,'計測入力シート（ここのみ編集可）'!$BM$17:$BM$116,0)),"")</f>
        <v>1.123260865</v>
      </c>
      <c r="M25" s="236">
        <f t="array" ref="M25">IFERROR(INDEX('計測入力シート（ここのみ編集可）'!$BE$17:$BE$116,MATCH($A25&amp;$B25,'計測入力シート（ここのみ編集可）'!$BM$17:$BM$116,0)),"")</f>
        <v>1.123260865</v>
      </c>
      <c r="N25" s="235">
        <f t="array" ref="N25">IFERROR(INDEX('計測入力シート（ここのみ編集可）'!$BN$17:$BN$116,MATCH($A25&amp;$B25,'計測入力シート（ここのみ編集可）'!$BM$17:$BM$116,0)),"")</f>
        <v>4</v>
      </c>
      <c r="O25" s="235" t="str">
        <f t="array" ref="O25">IFERROR(INDEX('計測入力シート（ここのみ編集可）'!$BP$17:$BP$116,MATCH($A25&amp;$B25,'計測入力シート（ここのみ編集可）'!$BM$17:$BM$116,0)),"")</f>
        <v>-</v>
      </c>
      <c r="P25" s="235" t="str">
        <f t="array" ref="P25">IFERROR(INDEX('計測入力シート（ここのみ編集可）'!$BR$17:$BR$116,MATCH($A25&amp;$B25,'計測入力シート（ここのみ編集可）'!$BM$17:$BM$116,0)),"")</f>
        <v>-</v>
      </c>
      <c r="Q25" s="237">
        <f t="array" ref="Q25">IFERROR(INDEX('計測入力シート（ここのみ編集可）'!$BL$17:$BL$116,MATCH($A25&amp;$B25,'計測入力シート（ここのみ編集可）'!$BM$17:$BM$116,0)),"")</f>
        <v>17</v>
      </c>
    </row>
    <row r="26" ht="18.75" customHeight="1">
      <c r="A26" s="86" t="s">
        <v>85</v>
      </c>
      <c r="B26" s="86">
        <v>22.0</v>
      </c>
      <c r="C26" s="86"/>
      <c r="D26" s="238" t="str">
        <f t="array" ref="D26">IFERROR(INDEX('計測入力シート（ここのみ編集可）'!$B$17:$B$116,MATCH($A26&amp;$B26,'計測入力シート（ここのみ編集可）'!$BM$17:$BM$116,0)),"")</f>
        <v>C2</v>
      </c>
      <c r="E26" s="233" t="str">
        <f t="array" ref="E26">IFERROR(INDEX('計測入力シート（ここのみ編集可）'!$D$17:$D$116,MATCH($A26&amp;$B26,'計測入力シート（ここのみ編集可）'!$BM$17:$BM$116,0)),"")</f>
        <v>モル</v>
      </c>
      <c r="F26" s="233" t="str">
        <f t="array" ref="F26">IFERROR(INDEX('計測入力シート（ここのみ編集可）'!$E$17:$E$116,MATCH($A26&amp;$B26,'計測入力シート（ここのみ編集可）'!$BM$17:$BM$116,0)),"")</f>
        <v>YZF-R25</v>
      </c>
      <c r="G26" s="234" t="str">
        <f t="array" ref="G26">IFERROR(INDEX('計測入力シート（ここのみ編集可）'!$AW$17:$AW$116,MATCH($A26&amp;$B26,'計測入力シート（ここのみ編集可）'!$BM$17:$BM$116,0)),"")</f>
        <v>1:50:068</v>
      </c>
      <c r="H26" s="233">
        <f t="array" ref="H26">IFERROR(INDEX('計測入力シート（ここのみ編集可）'!$AY$17:$AY$116,MATCH($A26&amp;$B26,'計測入力シート（ここのみ編集可）'!$BM$17:$BM$116,0)),"")</f>
        <v>2</v>
      </c>
      <c r="I26" s="235" t="str">
        <f t="array" ref="I26">IFERROR(INDEX('計測入力シート（ここのみ編集可）'!$AZ$17:$AZ$116,MATCH($A26&amp;$B26,'計測入力シート（ここのみ編集可）'!$BM$17:$BM$116,0)),"")</f>
        <v>1:49:678</v>
      </c>
      <c r="J26" s="233" t="str">
        <f t="array" ref="J26">IFERROR(INDEX('計測入力シート（ここのみ編集可）'!$BB$17:$BB$116,MATCH($A26&amp;$B26,'計測入力シート（ここのみ編集可）'!$BM$17:$BM$116,0)),"")</f>
        <v>-</v>
      </c>
      <c r="K26" s="235" t="str">
        <f t="array" ref="K26">IFERROR(INDEX('計測入力シート（ここのみ編集可）'!$BC$17:$BC$116,MATCH($A26&amp;$B26,'計測入力シート（ここのみ編集可）'!$BM$17:$BM$116,0)),"")</f>
        <v>1:49:678</v>
      </c>
      <c r="L26" s="236">
        <f t="array" ref="L26">IFERROR(INDEX('計測入力シート（ここのみ編集可）'!$BD$17:$BD$116,MATCH($A26&amp;$B26,'計測入力シート（ここのみ編集可）'!$BM$17:$BM$116,0)),"")</f>
        <v>1.123680921</v>
      </c>
      <c r="M26" s="236">
        <f t="array" ref="M26">IFERROR(INDEX('計測入力シート（ここのみ編集可）'!$BE$17:$BE$116,MATCH($A26&amp;$B26,'計測入力シート（ここのみ編集可）'!$BM$17:$BM$116,0)),"")</f>
        <v>1.123680921</v>
      </c>
      <c r="N26" s="235">
        <f t="array" ref="N26">IFERROR(INDEX('計測入力シート（ここのみ編集可）'!$BN$17:$BN$116,MATCH($A26&amp;$B26,'計測入力シート（ここのみ編集可）'!$BM$17:$BM$116,0)),"")</f>
        <v>5</v>
      </c>
      <c r="O26" s="235">
        <f t="array" ref="O26">IFERROR(INDEX('計測入力シート（ここのみ編集可）'!$BP$17:$BP$116,MATCH($A26&amp;$B26,'計測入力シート（ここのみ編集可）'!$BM$17:$BM$116,0)),"")</f>
        <v>2</v>
      </c>
      <c r="P26" s="235" t="str">
        <f t="array" ref="P26">IFERROR(INDEX('計測入力シート（ここのみ編集可）'!$BR$17:$BR$116,MATCH($A26&amp;$B26,'計測入力シート（ここのみ編集可）'!$BM$17:$BM$116,0)),"")</f>
        <v>-</v>
      </c>
      <c r="Q26" s="237">
        <f t="array" ref="Q26">IFERROR(INDEX('計測入力シート（ここのみ編集可）'!$BL$17:$BL$116,MATCH($A26&amp;$B26,'計測入力シート（ここのみ編集可）'!$BM$17:$BM$116,0)),"")</f>
        <v>18</v>
      </c>
    </row>
    <row r="27" ht="18.75" customHeight="1">
      <c r="A27" s="86" t="s">
        <v>85</v>
      </c>
      <c r="B27" s="86">
        <v>23.0</v>
      </c>
      <c r="C27" s="86"/>
      <c r="D27" s="238" t="str">
        <f t="array" ref="D27">IFERROR(INDEX('計測入力シート（ここのみ編集可）'!$B$17:$B$116,MATCH($A27&amp;$B27,'計測入力シート（ここのみ編集可）'!$BM$17:$BM$116,0)),"")</f>
        <v>C2</v>
      </c>
      <c r="E27" s="233" t="str">
        <f t="array" ref="E27">IFERROR(INDEX('計測入力シート（ここのみ編集可）'!$D$17:$D$116,MATCH($A27&amp;$B27,'計測入力シート（ここのみ編集可）'!$BM$17:$BM$116,0)),"")</f>
        <v>まる</v>
      </c>
      <c r="F27" s="233" t="str">
        <f t="array" ref="F27">IFERROR(INDEX('計測入力シート（ここのみ編集可）'!$E$17:$E$116,MATCH($A27&amp;$B27,'計測入力シート（ここのみ編集可）'!$BM$17:$BM$116,0)),"")</f>
        <v>VTR</v>
      </c>
      <c r="G27" s="234" t="str">
        <f t="array" ref="G27">IFERROR(INDEX('計測入力シート（ここのみ編集可）'!$AW$17:$AW$116,MATCH($A27&amp;$B27,'計測入力シート（ここのみ編集可）'!$BM$17:$BM$116,0)),"")</f>
        <v>1:58:134</v>
      </c>
      <c r="H27" s="233">
        <f t="array" ref="H27">IFERROR(INDEX('計測入力シート（ここのみ編集可）'!$AY$17:$AY$116,MATCH($A27&amp;$B27,'計測入力シート（ここのみ編集可）'!$BM$17:$BM$116,0)),"")</f>
        <v>1</v>
      </c>
      <c r="I27" s="235" t="str">
        <f t="array" ref="I27">IFERROR(INDEX('計測入力シート（ここのみ編集可）'!$AZ$17:$AZ$116,MATCH($A27&amp;$B27,'計測入力シート（ここのみ編集可）'!$BM$17:$BM$116,0)),"")</f>
        <v>1:51:148</v>
      </c>
      <c r="J27" s="233" t="str">
        <f t="array" ref="J27">IFERROR(INDEX('計測入力シート（ここのみ編集可）'!$BB$17:$BB$116,MATCH($A27&amp;$B27,'計測入力シート（ここのみ編集可）'!$BM$17:$BM$116,0)),"")</f>
        <v>-</v>
      </c>
      <c r="K27" s="235" t="str">
        <f t="array" ref="K27">IFERROR(INDEX('計測入力シート（ここのみ編集可）'!$BC$17:$BC$116,MATCH($A27&amp;$B27,'計測入力シート（ここのみ編集可）'!$BM$17:$BM$116,0)),"")</f>
        <v>1:51:148</v>
      </c>
      <c r="L27" s="236">
        <f t="array" ref="L27">IFERROR(INDEX('計測入力シート（ここのみ編集可）'!$BD$17:$BD$116,MATCH($A27&amp;$B27,'計測入力シート（ここのみ編集可）'!$BM$17:$BM$116,0)),"")</f>
        <v>1.138741471</v>
      </c>
      <c r="M27" s="236">
        <f t="array" ref="M27">IFERROR(INDEX('計測入力シート（ここのみ編集可）'!$BE$17:$BE$116,MATCH($A27&amp;$B27,'計測入力シート（ここのみ編集可）'!$BM$17:$BM$116,0)),"")</f>
        <v>1.138741471</v>
      </c>
      <c r="N27" s="235">
        <f t="array" ref="N27">IFERROR(INDEX('計測入力シート（ここのみ編集可）'!$BN$17:$BN$116,MATCH($A27&amp;$B27,'計測入力シート（ここのみ編集可）'!$BM$17:$BM$116,0)),"")</f>
        <v>6</v>
      </c>
      <c r="O27" s="235" t="str">
        <f t="array" ref="O27">IFERROR(INDEX('計測入力シート（ここのみ編集可）'!$BP$17:$BP$116,MATCH($A27&amp;$B27,'計測入力シート（ここのみ編集可）'!$BM$17:$BM$116,0)),"")</f>
        <v>-</v>
      </c>
      <c r="P27" s="235" t="str">
        <f t="array" ref="P27">IFERROR(INDEX('計測入力シート（ここのみ編集可）'!$BR$17:$BR$116,MATCH($A27&amp;$B27,'計測入力シート（ここのみ編集可）'!$BM$17:$BM$116,0)),"")</f>
        <v>-</v>
      </c>
      <c r="Q27" s="237">
        <f t="array" ref="Q27">IFERROR(INDEX('計測入力シート（ここのみ編集可）'!$BL$17:$BL$116,MATCH($A27&amp;$B27,'計測入力シート（ここのみ編集可）'!$BM$17:$BM$116,0)),"")</f>
        <v>23</v>
      </c>
    </row>
    <row r="28" ht="18.75" customHeight="1">
      <c r="A28" s="86" t="s">
        <v>85</v>
      </c>
      <c r="B28" s="86">
        <v>24.0</v>
      </c>
      <c r="C28" s="86"/>
      <c r="D28" s="238" t="str">
        <f t="array" ref="D28">IFERROR(INDEX('計測入力シート（ここのみ編集可）'!$B$17:$B$116,MATCH($A28&amp;$B28,'計測入力シート（ここのみ編集可）'!$BM$17:$BM$116,0)),"")</f>
        <v>C2</v>
      </c>
      <c r="E28" s="233" t="str">
        <f t="array" ref="E28">IFERROR(INDEX('計測入力シート（ここのみ編集可）'!$D$17:$D$116,MATCH($A28&amp;$B28,'計測入力シート（ここのみ編集可）'!$BM$17:$BM$116,0)),"")</f>
        <v>かおる</v>
      </c>
      <c r="F28" s="233" t="str">
        <f t="array" ref="F28">IFERROR(INDEX('計測入力シート（ここのみ編集可）'!$E$17:$E$116,MATCH($A28&amp;$B28,'計測入力シート（ここのみ編集可）'!$BM$17:$BM$116,0)),"")</f>
        <v>VTR250</v>
      </c>
      <c r="G28" s="234" t="str">
        <f t="array" ref="G28">IFERROR(INDEX('計測入力シート（ここのみ編集可）'!$AW$17:$AW$116,MATCH($A28&amp;$B28,'計測入力シート（ここのみ編集可）'!$BM$17:$BM$116,0)),"")</f>
        <v>1:53:626</v>
      </c>
      <c r="H28" s="233">
        <f t="array" ref="H28">IFERROR(INDEX('計測入力シート（ここのみ編集可）'!$AY$17:$AY$116,MATCH($A28&amp;$B28,'計測入力シート（ここのみ編集可）'!$BM$17:$BM$116,0)),"")</f>
        <v>1</v>
      </c>
      <c r="I28" s="235" t="str">
        <f t="array" ref="I28">IFERROR(INDEX('計測入力シート（ここのみ編集可）'!$AZ$17:$AZ$116,MATCH($A28&amp;$B28,'計測入力シート（ここのみ編集可）'!$BM$17:$BM$116,0)),"")</f>
        <v>1:52:407</v>
      </c>
      <c r="J28" s="233" t="str">
        <f t="array" ref="J28">IFERROR(INDEX('計測入力シート（ここのみ編集可）'!$BB$17:$BB$116,MATCH($A28&amp;$B28,'計測入力シート（ここのみ編集可）'!$BM$17:$BM$116,0)),"")</f>
        <v>-</v>
      </c>
      <c r="K28" s="235" t="str">
        <f t="array" ref="K28">IFERROR(INDEX('計測入力シート（ここのみ編集可）'!$BC$17:$BC$116,MATCH($A28&amp;$B28,'計測入力シート（ここのみ編集可）'!$BM$17:$BM$116,0)),"")</f>
        <v>1:52:407</v>
      </c>
      <c r="L28" s="236">
        <f t="array" ref="L28">IFERROR(INDEX('計測入力シート（ここのみ編集可）'!$BD$17:$BD$116,MATCH($A28&amp;$B28,'計測入力シート（ここのみ編集可）'!$BM$17:$BM$116,0)),"")</f>
        <v>1.151640268</v>
      </c>
      <c r="M28" s="236">
        <f t="array" ref="M28">IFERROR(INDEX('計測入力シート（ここのみ編集可）'!$BE$17:$BE$116,MATCH($A28&amp;$B28,'計測入力シート（ここのみ編集可）'!$BM$17:$BM$116,0)),"")</f>
        <v>1.151640268</v>
      </c>
      <c r="N28" s="235">
        <f t="array" ref="N28">IFERROR(INDEX('計測入力シート（ここのみ編集可）'!$BN$17:$BN$116,MATCH($A28&amp;$B28,'計測入力シート（ここのみ編集可）'!$BM$17:$BM$116,0)),"")</f>
        <v>7</v>
      </c>
      <c r="O28" s="235" t="str">
        <f t="array" ref="O28">IFERROR(INDEX('計測入力シート（ここのみ編集可）'!$BP$17:$BP$116,MATCH($A28&amp;$B28,'計測入力シート（ここのみ編集可）'!$BM$17:$BM$116,0)),"")</f>
        <v>-</v>
      </c>
      <c r="P28" s="235" t="str">
        <f t="array" ref="P28">IFERROR(INDEX('計測入力シート（ここのみ編集可）'!$BR$17:$BR$116,MATCH($A28&amp;$B28,'計測入力シート（ここのみ編集可）'!$BM$17:$BM$116,0)),"")</f>
        <v>-</v>
      </c>
      <c r="Q28" s="237">
        <f t="array" ref="Q28">IFERROR(INDEX('計測入力シート（ここのみ編集可）'!$BL$17:$BL$116,MATCH($A28&amp;$B28,'計測入力シート（ここのみ編集可）'!$BM$17:$BM$116,0)),"")</f>
        <v>25</v>
      </c>
    </row>
    <row r="29" ht="18.75" customHeight="1">
      <c r="A29" s="86" t="s">
        <v>85</v>
      </c>
      <c r="B29" s="86">
        <v>25.0</v>
      </c>
      <c r="C29" s="86"/>
      <c r="D29" s="238" t="str">
        <f t="array" ref="D29">IFERROR(INDEX('計測入力シート（ここのみ編集可）'!$B$17:$B$116,MATCH($A29&amp;$B29,'計測入力シート（ここのみ編集可）'!$BM$17:$BM$116,0)),"")</f>
        <v>C2</v>
      </c>
      <c r="E29" s="233" t="str">
        <f t="array" ref="E29">IFERROR(INDEX('計測入力シート（ここのみ編集可）'!$D$17:$D$116,MATCH($A29&amp;$B29,'計測入力シート（ここのみ編集可）'!$BM$17:$BM$116,0)),"")</f>
        <v>どーやP</v>
      </c>
      <c r="F29" s="233" t="str">
        <f t="array" ref="F29">IFERROR(INDEX('計測入力シート（ここのみ編集可）'!$E$17:$E$116,MATCH($A29&amp;$B29,'計測入力シート（ここのみ編集可）'!$BM$17:$BM$116,0)),"")</f>
        <v>Z400</v>
      </c>
      <c r="G29" s="234" t="str">
        <f t="array" ref="G29">IFERROR(INDEX('計測入力シート（ここのみ編集可）'!$AW$17:$AW$116,MATCH($A29&amp;$B29,'計測入力シート（ここのみ編集可）'!$BM$17:$BM$116,0)),"")</f>
        <v>2:02:742</v>
      </c>
      <c r="H29" s="233">
        <f t="array" ref="H29">IFERROR(INDEX('計測入力シート（ここのみ編集可）'!$AY$17:$AY$116,MATCH($A29&amp;$B29,'計測入力シート（ここのみ編集可）'!$BM$17:$BM$116,0)),"")</f>
        <v>1</v>
      </c>
      <c r="I29" s="235" t="str">
        <f t="array" ref="I29">IFERROR(INDEX('計測入力シート（ここのみ編集可）'!$AZ$17:$AZ$116,MATCH($A29&amp;$B29,'計測入力シート（ここのみ編集可）'!$BM$17:$BM$116,0)),"")</f>
        <v>1:52:470</v>
      </c>
      <c r="J29" s="233">
        <f t="array" ref="J29">IFERROR(INDEX('計測入力シート（ここのみ編集可）'!$BB$17:$BB$116,MATCH($A29&amp;$B29,'計測入力シート（ここのみ編集可）'!$BM$17:$BM$116,0)),"")</f>
        <v>1</v>
      </c>
      <c r="K29" s="235" t="str">
        <f t="array" ref="K29">IFERROR(INDEX('計測入力シート（ここのみ編集可）'!$BC$17:$BC$116,MATCH($A29&amp;$B29,'計測入力シート（ここのみ編集可）'!$BM$17:$BM$116,0)),"")</f>
        <v>1:53:470</v>
      </c>
      <c r="L29" s="236">
        <f t="array" ref="L29">IFERROR(INDEX('計測入力シート（ここのみ編集可）'!$BD$17:$BD$116,MATCH($A29&amp;$B29,'計測入力シート（ここのみ編集可）'!$BM$17:$BM$116,0)),"")</f>
        <v>1.162530992</v>
      </c>
      <c r="M29" s="236">
        <f t="array" ref="M29">IFERROR(INDEX('計測入力シート（ここのみ編集可）'!$BE$17:$BE$116,MATCH($A29&amp;$B29,'計測入力シート（ここのみ編集可）'!$BM$17:$BM$116,0)),"")</f>
        <v>1.162530992</v>
      </c>
      <c r="N29" s="235">
        <f t="array" ref="N29">IFERROR(INDEX('計測入力シート（ここのみ編集可）'!$BN$17:$BN$116,MATCH($A29&amp;$B29,'計測入力シート（ここのみ編集可）'!$BM$17:$BM$116,0)),"")</f>
        <v>8</v>
      </c>
      <c r="O29" s="235" t="str">
        <f t="array" ref="O29">IFERROR(INDEX('計測入力シート（ここのみ編集可）'!$BP$17:$BP$116,MATCH($A29&amp;$B29,'計測入力シート（ここのみ編集可）'!$BM$17:$BM$116,0)),"")</f>
        <v>-</v>
      </c>
      <c r="P29" s="235" t="str">
        <f t="array" ref="P29">IFERROR(INDEX('計測入力シート（ここのみ編集可）'!$BR$17:$BR$116,MATCH($A29&amp;$B29,'計測入力シート（ここのみ編集可）'!$BM$17:$BM$116,0)),"")</f>
        <v>-</v>
      </c>
      <c r="Q29" s="237">
        <f t="array" ref="Q29">IFERROR(INDEX('計測入力シート（ここのみ編集可）'!$BL$17:$BL$116,MATCH($A29&amp;$B29,'計測入力シート（ここのみ編集可）'!$BM$17:$BM$116,0)),"")</f>
        <v>29</v>
      </c>
    </row>
    <row r="30" ht="18.75" customHeight="1">
      <c r="A30" s="86" t="s">
        <v>85</v>
      </c>
      <c r="B30" s="86">
        <v>26.0</v>
      </c>
      <c r="C30" s="86"/>
      <c r="D30" s="238" t="str">
        <f t="array" ref="D30">IFERROR(INDEX('計測入力シート（ここのみ編集可）'!$B$17:$B$116,MATCH($A30&amp;$B30,'計測入力シート（ここのみ編集可）'!$BM$17:$BM$116,0)),"")</f>
        <v>C2</v>
      </c>
      <c r="E30" s="233" t="str">
        <f t="array" ref="E30">IFERROR(INDEX('計測入力シート（ここのみ編集可）'!$D$17:$D$116,MATCH($A30&amp;$B30,'計測入力シート（ここのみ編集可）'!$BM$17:$BM$116,0)),"")</f>
        <v>織田憲男</v>
      </c>
      <c r="F30" s="233" t="str">
        <f t="array" ref="F30">IFERROR(INDEX('計測入力シート（ここのみ編集可）'!$E$17:$E$116,MATCH($A30&amp;$B30,'計測入力シート（ここのみ編集可）'!$BM$17:$BM$116,0)),"")</f>
        <v>MT-03</v>
      </c>
      <c r="G30" s="234" t="str">
        <f t="array" ref="G30">IFERROR(INDEX('計測入力シート（ここのみ編集可）'!$AW$17:$AW$116,MATCH($A30&amp;$B30,'計測入力シート（ここのみ編集可）'!$BM$17:$BM$116,0)),"")</f>
        <v>1:53:531</v>
      </c>
      <c r="H30" s="233">
        <f t="array" ref="H30">IFERROR(INDEX('計測入力シート（ここのみ編集可）'!$AY$17:$AY$116,MATCH($A30&amp;$B30,'計測入力シート（ここのみ編集可）'!$BM$17:$BM$116,0)),"")</f>
        <v>1</v>
      </c>
      <c r="I30" s="235" t="str">
        <f t="array" ref="I30">IFERROR(INDEX('計測入力シート（ここのみ編集可）'!$AZ$17:$AZ$116,MATCH($A30&amp;$B30,'計測入力シート（ここのみ編集可）'!$BM$17:$BM$116,0)),"")</f>
        <v>1:55:157</v>
      </c>
      <c r="J30" s="233" t="str">
        <f t="array" ref="J30">IFERROR(INDEX('計測入力シート（ここのみ編集可）'!$BB$17:$BB$116,MATCH($A30&amp;$B30,'計測入力シート（ここのみ編集可）'!$BM$17:$BM$116,0)),"")</f>
        <v>-</v>
      </c>
      <c r="K30" s="235" t="str">
        <f t="array" ref="K30">IFERROR(INDEX('計測入力シート（ここのみ編集可）'!$BC$17:$BC$116,MATCH($A30&amp;$B30,'計測入力シート（ここのみ編集可）'!$BM$17:$BM$116,0)),"")</f>
        <v>1:54:531</v>
      </c>
      <c r="L30" s="236">
        <f t="array" ref="L30">IFERROR(INDEX('計測入力シート（ここのみ編集可）'!$BD$17:$BD$116,MATCH($A30&amp;$B30,'計測入力シート（ここのみ編集可）'!$BM$17:$BM$116,0)),"")</f>
        <v>1.173401225</v>
      </c>
      <c r="M30" s="236">
        <f t="array" ref="M30">IFERROR(INDEX('計測入力シート（ここのみ編集可）'!$BE$17:$BE$116,MATCH($A30&amp;$B30,'計測入力シート（ここのみ編集可）'!$BM$17:$BM$116,0)),"")</f>
        <v>1.173401225</v>
      </c>
      <c r="N30" s="235">
        <f t="array" ref="N30">IFERROR(INDEX('計測入力シート（ここのみ編集可）'!$BN$17:$BN$116,MATCH($A30&amp;$B30,'計測入力シート（ここのみ編集可）'!$BM$17:$BM$116,0)),"")</f>
        <v>9</v>
      </c>
      <c r="O30" s="235" t="str">
        <f t="array" ref="O30">IFERROR(INDEX('計測入力シート（ここのみ編集可）'!$BP$17:$BP$116,MATCH($A30&amp;$B30,'計測入力シート（ここのみ編集可）'!$BM$17:$BM$116,0)),"")</f>
        <v>-</v>
      </c>
      <c r="P30" s="235" t="str">
        <f t="array" ref="P30">IFERROR(INDEX('計測入力シート（ここのみ編集可）'!$BR$17:$BR$116,MATCH($A30&amp;$B30,'計測入力シート（ここのみ編集可）'!$BM$17:$BM$116,0)),"")</f>
        <v>-</v>
      </c>
      <c r="Q30" s="237">
        <f t="array" ref="Q30">IFERROR(INDEX('計測入力シート（ここのみ編集可）'!$BL$17:$BL$116,MATCH($A30&amp;$B30,'計測入力シート（ここのみ編集可）'!$BM$17:$BM$116,0)),"")</f>
        <v>30</v>
      </c>
    </row>
    <row r="31" ht="18.75" customHeight="1">
      <c r="A31" s="86" t="s">
        <v>85</v>
      </c>
      <c r="B31" s="86">
        <v>27.0</v>
      </c>
      <c r="C31" s="86"/>
      <c r="D31" s="238" t="str">
        <f t="array" ref="D31">IFERROR(INDEX('計測入力シート（ここのみ編集可）'!$B$17:$B$116,MATCH($A31&amp;$B31,'計測入力シート（ここのみ編集可）'!$BM$17:$BM$116,0)),"")</f>
        <v>C2</v>
      </c>
      <c r="E31" s="233" t="str">
        <f t="array" ref="E31">IFERROR(INDEX('計測入力シート（ここのみ編集可）'!$D$17:$D$116,MATCH($A31&amp;$B31,'計測入力シート（ここのみ編集可）'!$BM$17:$BM$116,0)),"")</f>
        <v>もーと</v>
      </c>
      <c r="F31" s="233" t="str">
        <f t="array" ref="F31">IFERROR(INDEX('計測入力シート（ここのみ編集可）'!$E$17:$E$116,MATCH($A31&amp;$B31,'計測入力シート（ここのみ編集可）'!$BM$17:$BM$116,0)),"")</f>
        <v>KX85</v>
      </c>
      <c r="G31" s="234" t="str">
        <f t="array" ref="G31">IFERROR(INDEX('計測入力シート（ここのみ編集可）'!$AW$17:$AW$116,MATCH($A31&amp;$B31,'計測入力シート（ここのみ編集可）'!$BM$17:$BM$116,0)),"")</f>
        <v>DNS</v>
      </c>
      <c r="H31" s="233" t="str">
        <f t="array" ref="H31">IFERROR(INDEX('計測入力シート（ここのみ編集可）'!$AY$17:$AY$116,MATCH($A31&amp;$B31,'計測入力シート（ここのみ編集可）'!$BM$17:$BM$116,0)),"")</f>
        <v>-</v>
      </c>
      <c r="I31" s="235" t="str">
        <f t="array" ref="I31">IFERROR(INDEX('計測入力シート（ここのみ編集可）'!$AZ$17:$AZ$116,MATCH($A31&amp;$B31,'計測入力シート（ここのみ編集可）'!$BM$17:$BM$116,0)),"")</f>
        <v>DNS</v>
      </c>
      <c r="J31" s="233" t="str">
        <f t="array" ref="J31">IFERROR(INDEX('計測入力シート（ここのみ編集可）'!$BB$17:$BB$116,MATCH($A31&amp;$B31,'計測入力シート（ここのみ編集可）'!$BM$17:$BM$116,0)),"")</f>
        <v>-</v>
      </c>
      <c r="K31" s="235" t="str">
        <f t="array" ref="K31">IFERROR(INDEX('計測入力シート（ここのみ編集可）'!$BC$17:$BC$116,MATCH($A31&amp;$B31,'計測入力シート（ここのみ編集可）'!$BM$17:$BM$116,0)),"")</f>
        <v>DNS</v>
      </c>
      <c r="L31" s="236" t="str">
        <f t="array" ref="L31">IFERROR(INDEX('計測入力シート（ここのみ編集可）'!$BD$17:$BD$116,MATCH($A31&amp;$B31,'計測入力シート（ここのみ編集可）'!$BM$17:$BM$116,0)),"")</f>
        <v>-</v>
      </c>
      <c r="M31" s="236" t="str">
        <f t="array" ref="M31">IFERROR(INDEX('計測入力シート（ここのみ編集可）'!$BE$17:$BE$116,MATCH($A31&amp;$B31,'計測入力シート（ここのみ編集可）'!$BM$17:$BM$116,0)),"")</f>
        <v>-</v>
      </c>
      <c r="N31" s="235" t="str">
        <f t="array" ref="N31">IFERROR(INDEX('計測入力シート（ここのみ編集可）'!$BN$17:$BN$116,MATCH($A31&amp;$B31,'計測入力シート（ここのみ編集可）'!$BM$17:$BM$116,0)),"")</f>
        <v>-</v>
      </c>
      <c r="O31" s="235" t="str">
        <f t="array" ref="O31">IFERROR(INDEX('計測入力シート（ここのみ編集可）'!$BP$17:$BP$116,MATCH($A31&amp;$B31,'計測入力シート（ここのみ編集可）'!$BM$17:$BM$116,0)),"")</f>
        <v>-</v>
      </c>
      <c r="P31" s="235" t="str">
        <f t="array" ref="P31">IFERROR(INDEX('計測入力シート（ここのみ編集可）'!$BR$17:$BR$116,MATCH($A31&amp;$B31,'計測入力シート（ここのみ編集可）'!$BM$17:$BM$116,0)),"")</f>
        <v>-</v>
      </c>
      <c r="Q31" s="237" t="str">
        <f t="array" ref="Q31">IFERROR(INDEX('計測入力シート（ここのみ編集可）'!$BL$17:$BL$116,MATCH($A31&amp;$B31,'計測入力シート（ここのみ編集可）'!$BM$17:$BM$116,0)),"")</f>
        <v>-</v>
      </c>
    </row>
    <row r="32" ht="18.75" customHeight="1">
      <c r="A32" s="86" t="s">
        <v>85</v>
      </c>
      <c r="B32" s="86">
        <v>28.0</v>
      </c>
      <c r="C32" s="86"/>
      <c r="D32" s="238" t="str">
        <f t="array" ref="D32">IFERROR(INDEX('計測入力シート（ここのみ編集可）'!$B$17:$B$116,MATCH($A32&amp;$B32,'計測入力シート（ここのみ編集可）'!$BM$17:$BM$116,0)),"")</f>
        <v>D</v>
      </c>
      <c r="E32" s="233" t="str">
        <f t="array" ref="E32">IFERROR(INDEX('計測入力シート（ここのみ編集可）'!$D$17:$D$116,MATCH($A32&amp;$B32,'計測入力シート（ここのみ編集可）'!$BM$17:$BM$116,0)),"")</f>
        <v>川崎幸治</v>
      </c>
      <c r="F32" s="233" t="str">
        <f t="array" ref="F32">IFERROR(INDEX('計測入力シート（ここのみ編集可）'!$E$17:$E$116,MATCH($A32&amp;$B32,'計測入力シート（ここのみ編集可）'!$BM$17:$BM$116,0)),"")</f>
        <v>トリッカー</v>
      </c>
      <c r="G32" s="234" t="str">
        <f t="array" ref="G32">IFERROR(INDEX('計測入力シート（ここのみ編集可）'!$AW$17:$AW$116,MATCH($A32&amp;$B32,'計測入力シート（ここのみ編集可）'!$BM$17:$BM$116,0)),"")</f>
        <v>1:47:950</v>
      </c>
      <c r="H32" s="233">
        <f t="array" ref="H32">IFERROR(INDEX('計測入力シート（ここのみ編集可）'!$AY$17:$AY$116,MATCH($A32&amp;$B32,'計測入力シート（ここのみ編集可）'!$BM$17:$BM$116,0)),"")</f>
        <v>3</v>
      </c>
      <c r="I32" s="235" t="str">
        <f t="array" ref="I32">IFERROR(INDEX('計測入力シート（ここのみ編集可）'!$AZ$17:$AZ$116,MATCH($A32&amp;$B32,'計測入力シート（ここのみ編集可）'!$BM$17:$BM$116,0)),"")</f>
        <v>1:47:289</v>
      </c>
      <c r="J32" s="233" t="str">
        <f t="array" ref="J32">IFERROR(INDEX('計測入力シート（ここのみ編集可）'!$BB$17:$BB$116,MATCH($A32&amp;$B32,'計測入力シート（ここのみ編集可）'!$BM$17:$BM$116,0)),"")</f>
        <v>-</v>
      </c>
      <c r="K32" s="235" t="str">
        <f t="array" ref="K32">IFERROR(INDEX('計測入力シート（ここのみ編集可）'!$BC$17:$BC$116,MATCH($A32&amp;$B32,'計測入力シート（ここのみ編集可）'!$BM$17:$BM$116,0)),"")</f>
        <v>1:47:289</v>
      </c>
      <c r="L32" s="236">
        <f t="array" ref="L32">IFERROR(INDEX('計測入力シート（ここのみ編集可）'!$BD$17:$BD$116,MATCH($A32&amp;$B32,'計測入力シート（ここのみ編集可）'!$BM$17:$BM$116,0)),"")</f>
        <v>1.099204967</v>
      </c>
      <c r="M32" s="236">
        <f t="array" ref="M32">IFERROR(INDEX('計測入力シート（ここのみ編集可）'!$BE$17:$BE$116,MATCH($A32&amp;$B32,'計測入力シート（ここのみ編集可）'!$BM$17:$BM$116,0)),"")</f>
        <v>1.099204967</v>
      </c>
      <c r="N32" s="235">
        <f t="array" ref="N32">IFERROR(INDEX('計測入力シート（ここのみ編集可）'!$BN$17:$BN$116,MATCH($A32&amp;$B32,'計測入力シート（ここのみ編集可）'!$BM$17:$BM$116,0)),"")</f>
        <v>1</v>
      </c>
      <c r="O32" s="235" t="str">
        <f t="array" ref="O32">IFERROR(INDEX('計測入力シート（ここのみ編集可）'!$BP$17:$BP$116,MATCH($A32&amp;$B32,'計測入力シート（ここのみ編集可）'!$BM$17:$BM$116,0)),"")</f>
        <v>-</v>
      </c>
      <c r="P32" s="235" t="str">
        <f t="array" ref="P32">IFERROR(INDEX('計測入力シート（ここのみ編集可）'!$BR$17:$BR$116,MATCH($A32&amp;$B32,'計測入力シート（ここのみ編集可）'!$BM$17:$BM$116,0)),"")</f>
        <v>-</v>
      </c>
      <c r="Q32" s="237">
        <f t="array" ref="Q32">IFERROR(INDEX('計測入力シート（ここのみ編集可）'!$BL$17:$BL$116,MATCH($A32&amp;$B32,'計測入力シート（ここのみ編集可）'!$BM$17:$BM$116,0)),"")</f>
        <v>13</v>
      </c>
    </row>
    <row r="33" ht="18.75" customHeight="1">
      <c r="A33" s="86" t="s">
        <v>85</v>
      </c>
      <c r="B33" s="86">
        <v>29.0</v>
      </c>
      <c r="C33" s="86"/>
      <c r="D33" s="238" t="str">
        <f t="array" ref="D33">IFERROR(INDEX('計測入力シート（ここのみ編集可）'!$B$17:$B$116,MATCH($A33&amp;$B33,'計測入力シート（ここのみ編集可）'!$BM$17:$BM$116,0)),"")</f>
        <v>D</v>
      </c>
      <c r="E33" s="233" t="str">
        <f t="array" ref="E33">IFERROR(INDEX('計測入力シート（ここのみ編集可）'!$D$17:$D$116,MATCH($A33&amp;$B33,'計測入力シート（ここのみ編集可）'!$BM$17:$BM$116,0)),"")</f>
        <v>ふじもん</v>
      </c>
      <c r="F33" s="233" t="str">
        <f t="array" ref="F33">IFERROR(INDEX('計測入力シート（ここのみ編集可）'!$E$17:$E$116,MATCH($A33&amp;$B33,'計測入力シート（ここのみ編集可）'!$BM$17:$BM$116,0)),"")</f>
        <v>MR150</v>
      </c>
      <c r="G33" s="234" t="str">
        <f t="array" ref="G33">IFERROR(INDEX('計測入力シート（ここのみ編集可）'!$AW$17:$AW$116,MATCH($A33&amp;$B33,'計測入力シート（ここのみ編集可）'!$BM$17:$BM$116,0)),"")</f>
        <v>1:50:557</v>
      </c>
      <c r="H33" s="233" t="str">
        <f t="array" ref="H33">IFERROR(INDEX('計測入力シート（ここのみ編集可）'!$AY$17:$AY$116,MATCH($A33&amp;$B33,'計測入力シート（ここのみ編集可）'!$BM$17:$BM$116,0)),"")</f>
        <v>-</v>
      </c>
      <c r="I33" s="235" t="str">
        <f t="array" ref="I33">IFERROR(INDEX('計測入力シート（ここのみ編集可）'!$AZ$17:$AZ$116,MATCH($A33&amp;$B33,'計測入力シート（ここのみ編集可）'!$BM$17:$BM$116,0)),"")</f>
        <v>1:48:489</v>
      </c>
      <c r="J33" s="233" t="str">
        <f t="array" ref="J33">IFERROR(INDEX('計測入力シート（ここのみ編集可）'!$BB$17:$BB$116,MATCH($A33&amp;$B33,'計測入力シート（ここのみ編集可）'!$BM$17:$BM$116,0)),"")</f>
        <v>-</v>
      </c>
      <c r="K33" s="235" t="str">
        <f t="array" ref="K33">IFERROR(INDEX('計測入力シート（ここのみ編集可）'!$BC$17:$BC$116,MATCH($A33&amp;$B33,'計測入力シート（ここのみ編集可）'!$BM$17:$BM$116,0)),"")</f>
        <v>1:48:489</v>
      </c>
      <c r="L33" s="236">
        <f t="array" ref="L33">IFERROR(INDEX('計測入力シート（ここのみ編集可）'!$BD$17:$BD$116,MATCH($A33&amp;$B33,'計測入力シート（ここのみ編集可）'!$BM$17:$BM$116,0)),"")</f>
        <v>1.111499293</v>
      </c>
      <c r="M33" s="236">
        <f t="array" ref="M33">IFERROR(INDEX('計測入力シート（ここのみ編集可）'!$BE$17:$BE$116,MATCH($A33&amp;$B33,'計測入力シート（ここのみ編集可）'!$BM$17:$BM$116,0)),"")</f>
        <v>1.111499293</v>
      </c>
      <c r="N33" s="235">
        <f t="array" ref="N33">IFERROR(INDEX('計測入力シート（ここのみ編集可）'!$BN$17:$BN$116,MATCH($A33&amp;$B33,'計測入力シート（ここのみ編集可）'!$BM$17:$BM$116,0)),"")</f>
        <v>2</v>
      </c>
      <c r="O33" s="235">
        <f t="array" ref="O33">IFERROR(INDEX('計測入力シート（ここのみ編集可）'!$BP$17:$BP$116,MATCH($A33&amp;$B33,'計測入力シート（ここのみ編集可）'!$BM$17:$BM$116,0)),"")</f>
        <v>1</v>
      </c>
      <c r="P33" s="235" t="str">
        <f t="array" ref="P33">IFERROR(INDEX('計測入力シート（ここのみ編集可）'!$BR$17:$BR$116,MATCH($A33&amp;$B33,'計測入力シート（ここのみ編集可）'!$BM$17:$BM$116,0)),"")</f>
        <v>-</v>
      </c>
      <c r="Q33" s="237">
        <f t="array" ref="Q33">IFERROR(INDEX('計測入力シート（ここのみ編集可）'!$BL$17:$BL$116,MATCH($A33&amp;$B33,'計測入力シート（ここのみ編集可）'!$BM$17:$BM$116,0)),"")</f>
        <v>15</v>
      </c>
    </row>
    <row r="34" ht="18.75" customHeight="1">
      <c r="A34" s="86" t="s">
        <v>85</v>
      </c>
      <c r="B34" s="86">
        <v>30.0</v>
      </c>
      <c r="C34" s="86"/>
      <c r="D34" s="238" t="str">
        <f t="array" ref="D34">IFERROR(INDEX('計測入力シート（ここのみ編集可）'!$B$17:$B$116,MATCH($A34&amp;$B34,'計測入力シート（ここのみ編集可）'!$BM$17:$BM$116,0)),"")</f>
        <v>D</v>
      </c>
      <c r="E34" s="233" t="str">
        <f t="array" ref="E34">IFERROR(INDEX('計測入力シート（ここのみ編集可）'!$D$17:$D$116,MATCH($A34&amp;$B34,'計測入力シート（ここのみ編集可）'!$BM$17:$BM$116,0)),"")</f>
        <v>SIGE2878</v>
      </c>
      <c r="F34" s="233" t="str">
        <f t="array" ref="F34">IFERROR(INDEX('計測入力シート（ここのみ編集可）'!$E$17:$E$116,MATCH($A34&amp;$B34,'計測入力シート（ここのみ編集可）'!$BM$17:$BM$116,0)),"")</f>
        <v>CRM250R</v>
      </c>
      <c r="G34" s="234" t="str">
        <f t="array" ref="G34">IFERROR(INDEX('計測入力シート（ここのみ編集可）'!$AW$17:$AW$116,MATCH($A34&amp;$B34,'計測入力シート（ここのみ編集可）'!$BM$17:$BM$116,0)),"")</f>
        <v>1:50:854</v>
      </c>
      <c r="H34" s="233" t="str">
        <f t="array" ref="H34">IFERROR(INDEX('計測入力シート（ここのみ編集可）'!$AY$17:$AY$116,MATCH($A34&amp;$B34,'計測入力シート（ここのみ編集可）'!$BM$17:$BM$116,0)),"")</f>
        <v>-</v>
      </c>
      <c r="I34" s="235" t="str">
        <f t="array" ref="I34">IFERROR(INDEX('計測入力シート（ここのみ編集可）'!$AZ$17:$AZ$116,MATCH($A34&amp;$B34,'計測入力シート（ここのみ編集可）'!$BM$17:$BM$116,0)),"")</f>
        <v>1:48:771</v>
      </c>
      <c r="J34" s="233" t="str">
        <f t="array" ref="J34">IFERROR(INDEX('計測入力シート（ここのみ編集可）'!$BB$17:$BB$116,MATCH($A34&amp;$B34,'計測入力シート（ここのみ編集可）'!$BM$17:$BM$116,0)),"")</f>
        <v>-</v>
      </c>
      <c r="K34" s="235" t="str">
        <f t="array" ref="K34">IFERROR(INDEX('計測入力シート（ここのみ編集可）'!$BC$17:$BC$116,MATCH($A34&amp;$B34,'計測入力シート（ここのみ編集可）'!$BM$17:$BM$116,0)),"")</f>
        <v>1:48:771</v>
      </c>
      <c r="L34" s="236">
        <f t="array" ref="L34">IFERROR(INDEX('計測入力シート（ここのみ編集可）'!$BD$17:$BD$116,MATCH($A34&amp;$B34,'計測入力シート（ここのみ編集可）'!$BM$17:$BM$116,0)),"")</f>
        <v>1.11438846</v>
      </c>
      <c r="M34" s="236">
        <f t="array" ref="M34">IFERROR(INDEX('計測入力シート（ここのみ編集可）'!$BE$17:$BE$116,MATCH($A34&amp;$B34,'計測入力シート（ここのみ編集可）'!$BM$17:$BM$116,0)),"")</f>
        <v>1.11438846</v>
      </c>
      <c r="N34" s="235">
        <f t="array" ref="N34">IFERROR(INDEX('計測入力シート（ここのみ編集可）'!$BN$17:$BN$116,MATCH($A34&amp;$B34,'計測入力シート（ここのみ編集可）'!$BM$17:$BM$116,0)),"")</f>
        <v>3</v>
      </c>
      <c r="O34" s="235" t="str">
        <f t="array" ref="O34">IFERROR(INDEX('計測入力シート（ここのみ編集可）'!$BP$17:$BP$116,MATCH($A34&amp;$B34,'計測入力シート（ここのみ編集可）'!$BM$17:$BM$116,0)),"")</f>
        <v>-</v>
      </c>
      <c r="P34" s="235" t="str">
        <f t="array" ref="P34">IFERROR(INDEX('計測入力シート（ここのみ編集可）'!$BR$17:$BR$116,MATCH($A34&amp;$B34,'計測入力シート（ここのみ編集可）'!$BM$17:$BM$116,0)),"")</f>
        <v>-</v>
      </c>
      <c r="Q34" s="237">
        <f t="array" ref="Q34">IFERROR(INDEX('計測入力シート（ここのみ編集可）'!$BL$17:$BL$116,MATCH($A34&amp;$B34,'計測入力シート（ここのみ編集可）'!$BM$17:$BM$116,0)),"")</f>
        <v>16</v>
      </c>
    </row>
    <row r="35" ht="18.75" customHeight="1">
      <c r="A35" s="86" t="s">
        <v>85</v>
      </c>
      <c r="B35" s="86">
        <v>31.0</v>
      </c>
      <c r="C35" s="86"/>
      <c r="D35" s="238" t="str">
        <f t="array" ref="D35">IFERROR(INDEX('計測入力シート（ここのみ編集可）'!$B$17:$B$116,MATCH($A35&amp;$B35,'計測入力シート（ここのみ編集可）'!$BM$17:$BM$116,0)),"")</f>
        <v>D</v>
      </c>
      <c r="E35" s="233" t="str">
        <f t="array" ref="E35">IFERROR(INDEX('計測入力シート（ここのみ編集可）'!$D$17:$D$116,MATCH($A35&amp;$B35,'計測入力シート（ここのみ編集可）'!$BM$17:$BM$116,0)),"")</f>
        <v>ホッシャ</v>
      </c>
      <c r="F35" s="233" t="str">
        <f t="array" ref="F35">IFERROR(INDEX('計測入力シート（ここのみ編集可）'!$E$17:$E$116,MATCH($A35&amp;$B35,'計測入力シート（ここのみ編集可）'!$BM$17:$BM$116,0)),"")</f>
        <v>VTR</v>
      </c>
      <c r="G35" s="234" t="str">
        <f t="array" ref="G35">IFERROR(INDEX('計測入力シート（ここのみ編集可）'!$AW$17:$AW$116,MATCH($A35&amp;$B35,'計測入力シート（ここのみ編集可）'!$BM$17:$BM$116,0)),"")</f>
        <v>1:54:609</v>
      </c>
      <c r="H35" s="233" t="str">
        <f t="array" ref="H35">IFERROR(INDEX('計測入力シート（ここのみ編集可）'!$AY$17:$AY$116,MATCH($A35&amp;$B35,'計測入力シート（ここのみ編集可）'!$BM$17:$BM$116,0)),"")</f>
        <v>-</v>
      </c>
      <c r="I35" s="235" t="str">
        <f t="array" ref="I35">IFERROR(INDEX('計測入力シート（ここのみ編集可）'!$AZ$17:$AZ$116,MATCH($A35&amp;$B35,'計測入力シート（ここのみ編集可）'!$BM$17:$BM$116,0)),"")</f>
        <v>1:50:535</v>
      </c>
      <c r="J35" s="233" t="str">
        <f t="array" ref="J35">IFERROR(INDEX('計測入力シート（ここのみ編集可）'!$BB$17:$BB$116,MATCH($A35&amp;$B35,'計測入力シート（ここのみ編集可）'!$BM$17:$BM$116,0)),"")</f>
        <v>-</v>
      </c>
      <c r="K35" s="235" t="str">
        <f t="array" ref="K35">IFERROR(INDEX('計測入力シート（ここのみ編集可）'!$BC$17:$BC$116,MATCH($A35&amp;$B35,'計測入力シート（ここのみ編集可）'!$BM$17:$BM$116,0)),"")</f>
        <v>1:50:535</v>
      </c>
      <c r="L35" s="236">
        <f t="array" ref="L35">IFERROR(INDEX('計測入力シート（ここのみ編集可）'!$BD$17:$BD$116,MATCH($A35&amp;$B35,'計測入力シート（ここのみ編集可）'!$BM$17:$BM$116,0)),"")</f>
        <v>1.132461119</v>
      </c>
      <c r="M35" s="236">
        <f t="array" ref="M35">IFERROR(INDEX('計測入力シート（ここのみ編集可）'!$BE$17:$BE$116,MATCH($A35&amp;$B35,'計測入力シート（ここのみ編集可）'!$BM$17:$BM$116,0)),"")</f>
        <v>1.132461119</v>
      </c>
      <c r="N35" s="235">
        <f t="array" ref="N35">IFERROR(INDEX('計測入力シート（ここのみ編集可）'!$BN$17:$BN$116,MATCH($A35&amp;$B35,'計測入力シート（ここのみ編集可）'!$BM$17:$BM$116,0)),"")</f>
        <v>4</v>
      </c>
      <c r="O35" s="235" t="str">
        <f t="array" ref="O35">IFERROR(INDEX('計測入力シート（ここのみ編集可）'!$BP$17:$BP$116,MATCH($A35&amp;$B35,'計測入力シート（ここのみ編集可）'!$BM$17:$BM$116,0)),"")</f>
        <v>-</v>
      </c>
      <c r="P35" s="235" t="str">
        <f t="array" ref="P35">IFERROR(INDEX('計測入力シート（ここのみ編集可）'!$BR$17:$BR$116,MATCH($A35&amp;$B35,'計測入力シート（ここのみ編集可）'!$BM$17:$BM$116,0)),"")</f>
        <v>-</v>
      </c>
      <c r="Q35" s="237">
        <f t="array" ref="Q35">IFERROR(INDEX('計測入力シート（ここのみ編集可）'!$BL$17:$BL$116,MATCH($A35&amp;$B35,'計測入力シート（ここのみ編集可）'!$BM$17:$BM$116,0)),"")</f>
        <v>21</v>
      </c>
    </row>
    <row r="36" ht="18.75" customHeight="1">
      <c r="A36" s="86" t="s">
        <v>85</v>
      </c>
      <c r="B36" s="86">
        <v>32.0</v>
      </c>
      <c r="C36" s="86"/>
      <c r="D36" s="238" t="str">
        <f t="array" ref="D36">IFERROR(INDEX('計測入力シート（ここのみ編集可）'!$B$17:$B$116,MATCH($A36&amp;$B36,'計測入力シート（ここのみ編集可）'!$BM$17:$BM$116,0)),"")</f>
        <v>D</v>
      </c>
      <c r="E36" s="233" t="str">
        <f t="array" ref="E36">IFERROR(INDEX('計測入力シート（ここのみ編集可）'!$D$17:$D$116,MATCH($A36&amp;$B36,'計測入力シート（ここのみ編集可）'!$BM$17:$BM$116,0)),"")</f>
        <v>ひーちゃん</v>
      </c>
      <c r="F36" s="233" t="str">
        <f t="array" ref="F36">IFERROR(INDEX('計測入力シート（ここのみ編集可）'!$E$17:$E$116,MATCH($A36&amp;$B36,'計測入力シート（ここのみ編集可）'!$BM$17:$BM$116,0)),"")</f>
        <v>NSR50改</v>
      </c>
      <c r="G36" s="234" t="str">
        <f t="array" ref="G36">IFERROR(INDEX('計測入力シート（ここのみ編集可）'!$AW$17:$AW$116,MATCH($A36&amp;$B36,'計測入力シート（ここのみ編集可）'!$BM$17:$BM$116,0)),"")</f>
        <v>9:99:999</v>
      </c>
      <c r="H36" s="233" t="str">
        <f t="array" ref="H36">IFERROR(INDEX('計測入力シート（ここのみ編集可）'!$AY$17:$AY$116,MATCH($A36&amp;$B36,'計測入力シート（ここのみ編集可）'!$BM$17:$BM$116,0)),"")</f>
        <v>MC</v>
      </c>
      <c r="I36" s="235" t="str">
        <f t="array" ref="I36">IFERROR(INDEX('計測入力シート（ここのみ編集可）'!$AZ$17:$AZ$116,MATCH($A36&amp;$B36,'計測入力シート（ここのみ編集可）'!$BM$17:$BM$116,0)),"")</f>
        <v>1:50:783</v>
      </c>
      <c r="J36" s="233" t="str">
        <f t="array" ref="J36">IFERROR(INDEX('計測入力シート（ここのみ編集可）'!$BB$17:$BB$116,MATCH($A36&amp;$B36,'計測入力シート（ここのみ編集可）'!$BM$17:$BM$116,0)),"")</f>
        <v>-</v>
      </c>
      <c r="K36" s="235" t="str">
        <f t="array" ref="K36">IFERROR(INDEX('計測入力シート（ここのみ編集可）'!$BC$17:$BC$116,MATCH($A36&amp;$B36,'計測入力シート（ここのみ編集可）'!$BM$17:$BM$116,0)),"")</f>
        <v>1:50:783</v>
      </c>
      <c r="L36" s="236">
        <f t="array" ref="L36">IFERROR(INDEX('計測入力シート（ここのみ編集可）'!$BD$17:$BD$116,MATCH($A36&amp;$B36,'計測入力シート（ここのみ編集可）'!$BM$17:$BM$116,0)),"")</f>
        <v>1.135001947</v>
      </c>
      <c r="M36" s="236">
        <f t="array" ref="M36">IFERROR(INDEX('計測入力シート（ここのみ編集可）'!$BE$17:$BE$116,MATCH($A36&amp;$B36,'計測入力シート（ここのみ編集可）'!$BM$17:$BM$116,0)),"")</f>
        <v>1.135001947</v>
      </c>
      <c r="N36" s="235">
        <f t="array" ref="N36">IFERROR(INDEX('計測入力シート（ここのみ編集可）'!$BN$17:$BN$116,MATCH($A36&amp;$B36,'計測入力シート（ここのみ編集可）'!$BM$17:$BM$116,0)),"")</f>
        <v>5</v>
      </c>
      <c r="O36" s="235" t="str">
        <f t="array" ref="O36">IFERROR(INDEX('計測入力シート（ここのみ編集可）'!$BP$17:$BP$116,MATCH($A36&amp;$B36,'計測入力シート（ここのみ編集可）'!$BM$17:$BM$116,0)),"")</f>
        <v>-</v>
      </c>
      <c r="P36" s="235" t="str">
        <f t="array" ref="P36">IFERROR(INDEX('計測入力シート（ここのみ編集可）'!$BR$17:$BR$116,MATCH($A36&amp;$B36,'計測入力シート（ここのみ編集可）'!$BM$17:$BM$116,0)),"")</f>
        <v>-</v>
      </c>
      <c r="Q36" s="237">
        <f t="array" ref="Q36">IFERROR(INDEX('計測入力シート（ここのみ編集可）'!$BL$17:$BL$116,MATCH($A36&amp;$B36,'計測入力シート（ここのみ編集可）'!$BM$17:$BM$116,0)),"")</f>
        <v>22</v>
      </c>
    </row>
    <row r="37" ht="18.75" customHeight="1">
      <c r="A37" s="86" t="s">
        <v>85</v>
      </c>
      <c r="B37" s="86">
        <v>33.0</v>
      </c>
      <c r="C37" s="86"/>
      <c r="D37" s="238" t="str">
        <f t="array" ref="D37">IFERROR(INDEX('計測入力シート（ここのみ編集可）'!$B$17:$B$116,MATCH($A37&amp;$B37,'計測入力シート（ここのみ編集可）'!$BM$17:$BM$116,0)),"")</f>
        <v>D</v>
      </c>
      <c r="E37" s="233" t="str">
        <f t="array" ref="E37">IFERROR(INDEX('計測入力シート（ここのみ編集可）'!$D$17:$D$116,MATCH($A37&amp;$B37,'計測入力シート（ここのみ編集可）'!$BM$17:$BM$116,0)),"")</f>
        <v>ぶんちゃん</v>
      </c>
      <c r="F37" s="233" t="str">
        <f t="array" ref="F37">IFERROR(INDEX('計測入力シート（ここのみ編集可）'!$E$17:$E$116,MATCH($A37&amp;$B37,'計測入力シート（ここのみ編集可）'!$BM$17:$BM$116,0)),"")</f>
        <v>GSX-R1000</v>
      </c>
      <c r="G37" s="234" t="str">
        <f t="array" ref="G37">IFERROR(INDEX('計測入力シート（ここのみ編集可）'!$AW$17:$AW$116,MATCH($A37&amp;$B37,'計測入力シート（ここのみ編集可）'!$BM$17:$BM$116,0)),"")</f>
        <v>9:99:999</v>
      </c>
      <c r="H37" s="233" t="str">
        <f t="array" ref="H37">IFERROR(INDEX('計測入力シート（ここのみ編集可）'!$AY$17:$AY$116,MATCH($A37&amp;$B37,'計測入力シート（ここのみ編集可）'!$BM$17:$BM$116,0)),"")</f>
        <v>MC</v>
      </c>
      <c r="I37" s="235" t="str">
        <f t="array" ref="I37">IFERROR(INDEX('計測入力シート（ここのみ編集可）'!$AZ$17:$AZ$116,MATCH($A37&amp;$B37,'計測入力シート（ここのみ編集可）'!$BM$17:$BM$116,0)),"")</f>
        <v>1:50:255</v>
      </c>
      <c r="J37" s="233">
        <f t="array" ref="J37">IFERROR(INDEX('計測入力シート（ここのみ編集可）'!$BB$17:$BB$116,MATCH($A37&amp;$B37,'計測入力シート（ここのみ編集可）'!$BM$17:$BM$116,0)),"")</f>
        <v>1</v>
      </c>
      <c r="K37" s="235" t="str">
        <f t="array" ref="K37">IFERROR(INDEX('計測入力シート（ここのみ編集可）'!$BC$17:$BC$116,MATCH($A37&amp;$B37,'計測入力シート（ここのみ編集可）'!$BM$17:$BM$116,0)),"")</f>
        <v>1:51:255</v>
      </c>
      <c r="L37" s="236">
        <f t="array" ref="L37">IFERROR(INDEX('計測入力シート（ここのみ編集可）'!$BD$17:$BD$116,MATCH($A37&amp;$B37,'計測入力シート（ここのみ編集可）'!$BM$17:$BM$116,0)),"")</f>
        <v>1.139837715</v>
      </c>
      <c r="M37" s="236">
        <f t="array" ref="M37">IFERROR(INDEX('計測入力シート（ここのみ編集可）'!$BE$17:$BE$116,MATCH($A37&amp;$B37,'計測入力シート（ここのみ編集可）'!$BM$17:$BM$116,0)),"")</f>
        <v>1.139837715</v>
      </c>
      <c r="N37" s="235">
        <f t="array" ref="N37">IFERROR(INDEX('計測入力シート（ここのみ編集可）'!$BN$17:$BN$116,MATCH($A37&amp;$B37,'計測入力シート（ここのみ編集可）'!$BM$17:$BM$116,0)),"")</f>
        <v>6</v>
      </c>
      <c r="O37" s="235" t="str">
        <f t="array" ref="O37">IFERROR(INDEX('計測入力シート（ここのみ編集可）'!$BP$17:$BP$116,MATCH($A37&amp;$B37,'計測入力シート（ここのみ編集可）'!$BM$17:$BM$116,0)),"")</f>
        <v>-</v>
      </c>
      <c r="P37" s="235" t="str">
        <f t="array" ref="P37">IFERROR(INDEX('計測入力シート（ここのみ編集可）'!$BR$17:$BR$116,MATCH($A37&amp;$B37,'計測入力シート（ここのみ編集可）'!$BM$17:$BM$116,0)),"")</f>
        <v>-</v>
      </c>
      <c r="Q37" s="237">
        <f t="array" ref="Q37">IFERROR(INDEX('計測入力シート（ここのみ編集可）'!$BL$17:$BL$116,MATCH($A37&amp;$B37,'計測入力シート（ここのみ編集可）'!$BM$17:$BM$116,0)),"")</f>
        <v>24</v>
      </c>
    </row>
    <row r="38" ht="18.75" customHeight="1">
      <c r="A38" s="86" t="s">
        <v>85</v>
      </c>
      <c r="B38" s="86">
        <v>34.0</v>
      </c>
      <c r="C38" s="86"/>
      <c r="D38" s="238" t="str">
        <f t="array" ref="D38">IFERROR(INDEX('計測入力シート（ここのみ編集可）'!$B$17:$B$116,MATCH($A38&amp;$B38,'計測入力シート（ここのみ編集可）'!$BM$17:$BM$116,0)),"")</f>
        <v>D</v>
      </c>
      <c r="E38" s="233" t="str">
        <f t="array" ref="E38">IFERROR(INDEX('計測入力シート（ここのみ編集可）'!$D$17:$D$116,MATCH($A38&amp;$B38,'計測入力シート（ここのみ編集可）'!$BM$17:$BM$116,0)),"")</f>
        <v>ひさぽん</v>
      </c>
      <c r="F38" s="233" t="str">
        <f t="array" ref="F38">IFERROR(INDEX('計測入力シート（ここのみ編集可）'!$E$17:$E$116,MATCH($A38&amp;$B38,'計測入力シート（ここのみ編集可）'!$BM$17:$BM$116,0)),"")</f>
        <v>NSR50改</v>
      </c>
      <c r="G38" s="234" t="str">
        <f t="array" ref="G38">IFERROR(INDEX('計測入力シート（ここのみ編集可）'!$AW$17:$AW$116,MATCH($A38&amp;$B38,'計測入力シート（ここのみ編集可）'!$BM$17:$BM$116,0)),"")</f>
        <v>9:99:999</v>
      </c>
      <c r="H38" s="233" t="str">
        <f t="array" ref="H38">IFERROR(INDEX('計測入力シート（ここのみ編集可）'!$AY$17:$AY$116,MATCH($A38&amp;$B38,'計測入力シート（ここのみ編集可）'!$BM$17:$BM$116,0)),"")</f>
        <v>MC</v>
      </c>
      <c r="I38" s="235" t="str">
        <f t="array" ref="I38">IFERROR(INDEX('計測入力シート（ここのみ編集可）'!$AZ$17:$AZ$116,MATCH($A38&amp;$B38,'計測入力シート（ここのみ編集可）'!$BM$17:$BM$116,0)),"")</f>
        <v>1:52:505</v>
      </c>
      <c r="J38" s="233" t="str">
        <f t="array" ref="J38">IFERROR(INDEX('計測入力シート（ここのみ編集可）'!$BB$17:$BB$116,MATCH($A38&amp;$B38,'計測入力シート（ここのみ編集可）'!$BM$17:$BM$116,0)),"")</f>
        <v>-</v>
      </c>
      <c r="K38" s="235" t="str">
        <f t="array" ref="K38">IFERROR(INDEX('計測入力シート（ここのみ編集可）'!$BC$17:$BC$116,MATCH($A38&amp;$B38,'計測入力シート（ここのみ編集可）'!$BM$17:$BM$116,0)),"")</f>
        <v>1:52:505</v>
      </c>
      <c r="L38" s="236">
        <f t="array" ref="L38">IFERROR(INDEX('計測入力シート（ここのみ編集可）'!$BD$17:$BD$116,MATCH($A38&amp;$B38,'計測入力シート（ここのみ編集可）'!$BM$17:$BM$116,0)),"")</f>
        <v>1.152644305</v>
      </c>
      <c r="M38" s="236">
        <f t="array" ref="M38">IFERROR(INDEX('計測入力シート（ここのみ編集可）'!$BE$17:$BE$116,MATCH($A38&amp;$B38,'計測入力シート（ここのみ編集可）'!$BM$17:$BM$116,0)),"")</f>
        <v>1.152644305</v>
      </c>
      <c r="N38" s="235">
        <f t="array" ref="N38">IFERROR(INDEX('計測入力シート（ここのみ編集可）'!$BN$17:$BN$116,MATCH($A38&amp;$B38,'計測入力シート（ここのみ編集可）'!$BM$17:$BM$116,0)),"")</f>
        <v>7</v>
      </c>
      <c r="O38" s="235" t="str">
        <f t="array" ref="O38">IFERROR(INDEX('計測入力シート（ここのみ編集可）'!$BP$17:$BP$116,MATCH($A38&amp;$B38,'計測入力シート（ここのみ編集可）'!$BM$17:$BM$116,0)),"")</f>
        <v>-</v>
      </c>
      <c r="P38" s="235" t="str">
        <f t="array" ref="P38">IFERROR(INDEX('計測入力シート（ここのみ編集可）'!$BR$17:$BR$116,MATCH($A38&amp;$B38,'計測入力シート（ここのみ編集可）'!$BM$17:$BM$116,0)),"")</f>
        <v>-</v>
      </c>
      <c r="Q38" s="237">
        <f t="array" ref="Q38">IFERROR(INDEX('計測入力シート（ここのみ編集可）'!$BL$17:$BL$116,MATCH($A38&amp;$B38,'計測入力シート（ここのみ編集可）'!$BM$17:$BM$116,0)),"")</f>
        <v>26</v>
      </c>
    </row>
    <row r="39" ht="18.75" customHeight="1">
      <c r="A39" s="86" t="s">
        <v>85</v>
      </c>
      <c r="B39" s="86">
        <v>35.0</v>
      </c>
      <c r="C39" s="86"/>
      <c r="D39" s="238" t="str">
        <f t="array" ref="D39">IFERROR(INDEX('計測入力シート（ここのみ編集可）'!$B$17:$B$116,MATCH($A39&amp;$B39,'計測入力シート（ここのみ編集可）'!$BM$17:$BM$116,0)),"")</f>
        <v>D</v>
      </c>
      <c r="E39" s="233" t="str">
        <f t="array" ref="E39">IFERROR(INDEX('計測入力シート（ここのみ編集可）'!$D$17:$D$116,MATCH($A39&amp;$B39,'計測入力シート（ここのみ編集可）'!$BM$17:$BM$116,0)),"")</f>
        <v>ちゃっぴー</v>
      </c>
      <c r="F39" s="233" t="str">
        <f t="array" ref="F39">IFERROR(INDEX('計測入力シート（ここのみ編集可）'!$E$17:$E$116,MATCH($A39&amp;$B39,'計測入力シート（ここのみ編集可）'!$BM$17:$BM$116,0)),"")</f>
        <v>CB250R</v>
      </c>
      <c r="G39" s="234" t="str">
        <f t="array" ref="G39">IFERROR(INDEX('計測入力シート（ここのみ編集可）'!$AW$17:$AW$116,MATCH($A39&amp;$B39,'計測入力シート（ここのみ編集可）'!$BM$17:$BM$116,0)),"")</f>
        <v>1:54:429</v>
      </c>
      <c r="H39" s="233" t="str">
        <f t="array" ref="H39">IFERROR(INDEX('計測入力シート（ここのみ編集可）'!$AY$17:$AY$116,MATCH($A39&amp;$B39,'計測入力シート（ここのみ編集可）'!$BM$17:$BM$116,0)),"")</f>
        <v>-</v>
      </c>
      <c r="I39" s="235" t="str">
        <f t="array" ref="I39">IFERROR(INDEX('計測入力シート（ここのみ編集可）'!$AZ$17:$AZ$116,MATCH($A39&amp;$B39,'計測入力シート（ここのみ編集可）'!$BM$17:$BM$116,0)),"")</f>
        <v>1:53:304</v>
      </c>
      <c r="J39" s="233" t="str">
        <f t="array" ref="J39">IFERROR(INDEX('計測入力シート（ここのみ編集可）'!$BB$17:$BB$116,MATCH($A39&amp;$B39,'計測入力シート（ここのみ編集可）'!$BM$17:$BM$116,0)),"")</f>
        <v>-</v>
      </c>
      <c r="K39" s="235" t="str">
        <f t="array" ref="K39">IFERROR(INDEX('計測入力シート（ここのみ編集可）'!$BC$17:$BC$116,MATCH($A39&amp;$B39,'計測入力シート（ここのみ編集可）'!$BM$17:$BM$116,0)),"")</f>
        <v>1:53:304</v>
      </c>
      <c r="L39" s="236">
        <f t="array" ref="L39">IFERROR(INDEX('計測入力シート（ここのみ編集可）'!$BD$17:$BD$116,MATCH($A39&amp;$B39,'計測入力シート（ここのみ編集可）'!$BM$17:$BM$116,0)),"")</f>
        <v>1.160830277</v>
      </c>
      <c r="M39" s="236">
        <f t="array" ref="M39">IFERROR(INDEX('計測入力シート（ここのみ編集可）'!$BE$17:$BE$116,MATCH($A39&amp;$B39,'計測入力シート（ここのみ編集可）'!$BM$17:$BM$116,0)),"")</f>
        <v>1.160830277</v>
      </c>
      <c r="N39" s="235">
        <f t="array" ref="N39">IFERROR(INDEX('計測入力シート（ここのみ編集可）'!$BN$17:$BN$116,MATCH($A39&amp;$B39,'計測入力シート（ここのみ編集可）'!$BM$17:$BM$116,0)),"")</f>
        <v>8</v>
      </c>
      <c r="O39" s="235" t="str">
        <f t="array" ref="O39">IFERROR(INDEX('計測入力シート（ここのみ編集可）'!$BP$17:$BP$116,MATCH($A39&amp;$B39,'計測入力シート（ここのみ編集可）'!$BM$17:$BM$116,0)),"")</f>
        <v>-</v>
      </c>
      <c r="P39" s="235" t="str">
        <f t="array" ref="P39">IFERROR(INDEX('計測入力シート（ここのみ編集可）'!$BR$17:$BR$116,MATCH($A39&amp;$B39,'計測入力シート（ここのみ編集可）'!$BM$17:$BM$116,0)),"")</f>
        <v>-</v>
      </c>
      <c r="Q39" s="237">
        <f t="array" ref="Q39">IFERROR(INDEX('計測入力シート（ここのみ編集可）'!$BL$17:$BL$116,MATCH($A39&amp;$B39,'計測入力シート（ここのみ編集可）'!$BM$17:$BM$116,0)),"")</f>
        <v>28</v>
      </c>
    </row>
    <row r="40" ht="18.75" customHeight="1">
      <c r="A40" s="86" t="s">
        <v>85</v>
      </c>
      <c r="B40" s="86">
        <v>36.0</v>
      </c>
      <c r="C40" s="86"/>
      <c r="D40" s="238" t="str">
        <f t="array" ref="D40">IFERROR(INDEX('計測入力シート（ここのみ編集可）'!$B$17:$B$116,MATCH($A40&amp;$B40,'計測入力シート（ここのみ編集可）'!$BM$17:$BM$116,0)),"")</f>
        <v>D</v>
      </c>
      <c r="E40" s="233" t="str">
        <f t="array" ref="E40">IFERROR(INDEX('計測入力シート（ここのみ編集可）'!$D$17:$D$116,MATCH($A40&amp;$B40,'計測入力シート（ここのみ編集可）'!$BM$17:$BM$116,0)),"")</f>
        <v>すちんぐれ</v>
      </c>
      <c r="F40" s="233" t="str">
        <f t="array" ref="F40">IFERROR(INDEX('計測入力シート（ここのみ編集可）'!$E$17:$E$116,MATCH($A40&amp;$B40,'計測入力シート（ここのみ編集可）'!$BM$17:$BM$116,0)),"")</f>
        <v>VTR</v>
      </c>
      <c r="G40" s="234" t="str">
        <f t="array" ref="G40">IFERROR(INDEX('計測入力シート（ここのみ編集可）'!$AW$17:$AW$116,MATCH($A40&amp;$B40,'計測入力シート（ここのみ編集可）'!$BM$17:$BM$116,0)),"")</f>
        <v>1:57:901</v>
      </c>
      <c r="H40" s="233" t="str">
        <f t="array" ref="H40">IFERROR(INDEX('計測入力シート（ここのみ編集可）'!$AY$17:$AY$116,MATCH($A40&amp;$B40,'計測入力シート（ここのみ編集可）'!$BM$17:$BM$116,0)),"")</f>
        <v>-</v>
      </c>
      <c r="I40" s="235" t="str">
        <f t="array" ref="I40">IFERROR(INDEX('計測入力シート（ここのみ編集可）'!$AZ$17:$AZ$116,MATCH($A40&amp;$B40,'計測入力シート（ここのみ編集可）'!$BM$17:$BM$116,0)),"")</f>
        <v>2:00:349</v>
      </c>
      <c r="J40" s="233" t="str">
        <f t="array" ref="J40">IFERROR(INDEX('計測入力シート（ここのみ編集可）'!$BB$17:$BB$116,MATCH($A40&amp;$B40,'計測入力シート（ここのみ編集可）'!$BM$17:$BM$116,0)),"")</f>
        <v>-</v>
      </c>
      <c r="K40" s="235" t="str">
        <f t="array" ref="K40">IFERROR(INDEX('計測入力シート（ここのみ編集可）'!$BC$17:$BC$116,MATCH($A40&amp;$B40,'計測入力シート（ここのみ編集可）'!$BM$17:$BM$116,0)),"")</f>
        <v>1:57:901</v>
      </c>
      <c r="L40" s="236">
        <f t="array" ref="L40">IFERROR(INDEX('計測入力シート（ここのみ編集可）'!$BD$17:$BD$116,MATCH($A40&amp;$B40,'計測入力シート（ここのみ編集可）'!$BM$17:$BM$116,0)),"")</f>
        <v>1.207927791</v>
      </c>
      <c r="M40" s="236">
        <f t="array" ref="M40">IFERROR(INDEX('計測入力シート（ここのみ編集可）'!$BE$17:$BE$116,MATCH($A40&amp;$B40,'計測入力シート（ここのみ編集可）'!$BM$17:$BM$116,0)),"")</f>
        <v>1.207927791</v>
      </c>
      <c r="N40" s="235">
        <f t="array" ref="N40">IFERROR(INDEX('計測入力シート（ここのみ編集可）'!$BN$17:$BN$116,MATCH($A40&amp;$B40,'計測入力シート（ここのみ編集可）'!$BM$17:$BM$116,0)),"")</f>
        <v>9</v>
      </c>
      <c r="O40" s="235" t="str">
        <f t="array" ref="O40">IFERROR(INDEX('計測入力シート（ここのみ編集可）'!$BP$17:$BP$116,MATCH($A40&amp;$B40,'計測入力シート（ここのみ編集可）'!$BM$17:$BM$116,0)),"")</f>
        <v>-</v>
      </c>
      <c r="P40" s="235" t="str">
        <f t="array" ref="P40">IFERROR(INDEX('計測入力シート（ここのみ編集可）'!$BR$17:$BR$116,MATCH($A40&amp;$B40,'計測入力シート（ここのみ編集可）'!$BM$17:$BM$116,0)),"")</f>
        <v>-</v>
      </c>
      <c r="Q40" s="237">
        <f t="array" ref="Q40">IFERROR(INDEX('計測入力シート（ここのみ編集可）'!$BL$17:$BL$116,MATCH($A40&amp;$B40,'計測入力シート（ここのみ編集可）'!$BM$17:$BM$116,0)),"")</f>
        <v>35</v>
      </c>
    </row>
    <row r="41" ht="18.75" customHeight="1">
      <c r="A41" s="86" t="s">
        <v>85</v>
      </c>
      <c r="B41" s="86">
        <v>37.0</v>
      </c>
      <c r="C41" s="86"/>
      <c r="D41" s="238" t="str">
        <f t="array" ref="D41">IFERROR(INDEX('計測入力シート（ここのみ編集可）'!$B$17:$B$116,MATCH($A41&amp;$B41,'計測入力シート（ここのみ編集可）'!$BM$17:$BM$116,0)),"")</f>
        <v>D</v>
      </c>
      <c r="E41" s="233" t="str">
        <f t="array" ref="E41">IFERROR(INDEX('計測入力シート（ここのみ編集可）'!$D$17:$D$116,MATCH($A41&amp;$B41,'計測入力シート（ここのみ編集可）'!$BM$17:$BM$116,0)),"")</f>
        <v>たま</v>
      </c>
      <c r="F41" s="233" t="str">
        <f t="array" ref="F41">IFERROR(INDEX('計測入力シート（ここのみ編集可）'!$E$17:$E$116,MATCH($A41&amp;$B41,'計測入力シート（ここのみ編集可）'!$BM$17:$BM$116,0)),"")</f>
        <v>GSX-S1000</v>
      </c>
      <c r="G41" s="234" t="str">
        <f t="array" ref="G41">IFERROR(INDEX('計測入力シート（ここのみ編集可）'!$AW$17:$AW$116,MATCH($A41&amp;$B41,'計測入力シート（ここのみ編集可）'!$BM$17:$BM$116,0)),"")</f>
        <v>9:99:999</v>
      </c>
      <c r="H41" s="233" t="str">
        <f t="array" ref="H41">IFERROR(INDEX('計測入力シート（ここのみ編集可）'!$AY$17:$AY$116,MATCH($A41&amp;$B41,'計測入力シート（ここのみ編集可）'!$BM$17:$BM$116,0)),"")</f>
        <v>MC</v>
      </c>
      <c r="I41" s="235" t="str">
        <f t="array" ref="I41">IFERROR(INDEX('計測入力シート（ここのみ編集可）'!$AZ$17:$AZ$116,MATCH($A41&amp;$B41,'計測入力シート（ここのみ編集可）'!$BM$17:$BM$116,0)),"")</f>
        <v>1:57:988</v>
      </c>
      <c r="J41" s="233" t="str">
        <f t="array" ref="J41">IFERROR(INDEX('計測入力シート（ここのみ編集可）'!$BB$17:$BB$116,MATCH($A41&amp;$B41,'計測入力シート（ここのみ編集可）'!$BM$17:$BM$116,0)),"")</f>
        <v>-</v>
      </c>
      <c r="K41" s="235" t="str">
        <f t="array" ref="K41">IFERROR(INDEX('計測入力シート（ここのみ編集可）'!$BC$17:$BC$116,MATCH($A41&amp;$B41,'計測入力シート（ここのみ編集可）'!$BM$17:$BM$116,0)),"")</f>
        <v>1:57:988</v>
      </c>
      <c r="L41" s="236">
        <f t="array" ref="L41">IFERROR(INDEX('計測入力シート（ここのみ編集可）'!$BD$17:$BD$116,MATCH($A41&amp;$B41,'計測入力シート（ここのみ編集可）'!$BM$17:$BM$116,0)),"")</f>
        <v>1.20881913</v>
      </c>
      <c r="M41" s="236">
        <f t="array" ref="M41">IFERROR(INDEX('計測入力シート（ここのみ編集可）'!$BE$17:$BE$116,MATCH($A41&amp;$B41,'計測入力シート（ここのみ編集可）'!$BM$17:$BM$116,0)),"")</f>
        <v>1.20881913</v>
      </c>
      <c r="N41" s="235">
        <f t="array" ref="N41">IFERROR(INDEX('計測入力シート（ここのみ編集可）'!$BN$17:$BN$116,MATCH($A41&amp;$B41,'計測入力シート（ここのみ編集可）'!$BM$17:$BM$116,0)),"")</f>
        <v>10</v>
      </c>
      <c r="O41" s="235" t="str">
        <f t="array" ref="O41">IFERROR(INDEX('計測入力シート（ここのみ編集可）'!$BP$17:$BP$116,MATCH($A41&amp;$B41,'計測入力シート（ここのみ編集可）'!$BM$17:$BM$116,0)),"")</f>
        <v>-</v>
      </c>
      <c r="P41" s="235" t="str">
        <f t="array" ref="P41">IFERROR(INDEX('計測入力シート（ここのみ編集可）'!$BR$17:$BR$116,MATCH($A41&amp;$B41,'計測入力シート（ここのみ編集可）'!$BM$17:$BM$116,0)),"")</f>
        <v>-</v>
      </c>
      <c r="Q41" s="237">
        <f t="array" ref="Q41">IFERROR(INDEX('計測入力シート（ここのみ編集可）'!$BL$17:$BL$116,MATCH($A41&amp;$B41,'計測入力シート（ここのみ編集可）'!$BM$17:$BM$116,0)),"")</f>
        <v>36</v>
      </c>
    </row>
    <row r="42" ht="18.75" customHeight="1">
      <c r="A42" s="86" t="s">
        <v>85</v>
      </c>
      <c r="B42" s="86">
        <v>38.0</v>
      </c>
      <c r="C42" s="86"/>
      <c r="D42" s="238" t="str">
        <f t="array" ref="D42">IFERROR(INDEX('計測入力シート（ここのみ編集可）'!$B$17:$B$116,MATCH($A42&amp;$B42,'計測入力シート（ここのみ編集可）'!$BM$17:$BM$116,0)),"")</f>
        <v>D</v>
      </c>
      <c r="E42" s="233" t="str">
        <f t="array" ref="E42">IFERROR(INDEX('計測入力シート（ここのみ編集可）'!$D$17:$D$116,MATCH($A42&amp;$B42,'計測入力シート（ここのみ編集可）'!$BM$17:$BM$116,0)),"")</f>
        <v>フラッキーニョ</v>
      </c>
      <c r="F42" s="233" t="str">
        <f t="array" ref="F42">IFERROR(INDEX('計測入力シート（ここのみ編集可）'!$E$17:$E$116,MATCH($A42&amp;$B42,'計測入力シート（ここのみ編集可）'!$BM$17:$BM$116,0)),"")</f>
        <v>Ninja650</v>
      </c>
      <c r="G42" s="234" t="str">
        <f t="array" ref="G42">IFERROR(INDEX('計測入力シート（ここのみ編集可）'!$AW$17:$AW$116,MATCH($A42&amp;$B42,'計測入力シート（ここのみ編集可）'!$BM$17:$BM$116,0)),"")</f>
        <v>1:58:659</v>
      </c>
      <c r="H42" s="233" t="str">
        <f t="array" ref="H42">IFERROR(INDEX('計測入力シート（ここのみ編集可）'!$AY$17:$AY$116,MATCH($A42&amp;$B42,'計測入力シート（ここのみ編集可）'!$BM$17:$BM$116,0)),"")</f>
        <v>-</v>
      </c>
      <c r="I42" s="235" t="str">
        <f t="array" ref="I42">IFERROR(INDEX('計測入力シート（ここのみ編集可）'!$AZ$17:$AZ$116,MATCH($A42&amp;$B42,'計測入力シート（ここのみ編集可）'!$BM$17:$BM$116,0)),"")</f>
        <v>9:99:999</v>
      </c>
      <c r="J42" s="233" t="str">
        <f t="array" ref="J42">IFERROR(INDEX('計測入力シート（ここのみ編集可）'!$BB$17:$BB$116,MATCH($A42&amp;$B42,'計測入力シート（ここのみ編集可）'!$BM$17:$BM$116,0)),"")</f>
        <v>MC</v>
      </c>
      <c r="K42" s="235" t="str">
        <f t="array" ref="K42">IFERROR(INDEX('計測入力シート（ここのみ編集可）'!$BC$17:$BC$116,MATCH($A42&amp;$B42,'計測入力シート（ここのみ編集可）'!$BM$17:$BM$116,0)),"")</f>
        <v>1:58:659</v>
      </c>
      <c r="L42" s="236">
        <f t="array" ref="L42">IFERROR(INDEX('計測入力シート（ここのみ編集可）'!$BD$17:$BD$116,MATCH($A42&amp;$B42,'計測入力シート（ここのみ編集可）'!$BM$17:$BM$116,0)),"")</f>
        <v>1.215693707</v>
      </c>
      <c r="M42" s="236">
        <f t="array" ref="M42">IFERROR(INDEX('計測入力シート（ここのみ編集可）'!$BE$17:$BE$116,MATCH($A42&amp;$B42,'計測入力シート（ここのみ編集可）'!$BM$17:$BM$116,0)),"")</f>
        <v>1.215693707</v>
      </c>
      <c r="N42" s="235">
        <f t="array" ref="N42">IFERROR(INDEX('計測入力シート（ここのみ編集可）'!$BN$17:$BN$116,MATCH($A42&amp;$B42,'計測入力シート（ここのみ編集可）'!$BM$17:$BM$116,0)),"")</f>
        <v>11</v>
      </c>
      <c r="O42" s="235" t="str">
        <f t="array" ref="O42">IFERROR(INDEX('計測入力シート（ここのみ編集可）'!$BP$17:$BP$116,MATCH($A42&amp;$B42,'計測入力シート（ここのみ編集可）'!$BM$17:$BM$116,0)),"")</f>
        <v>-</v>
      </c>
      <c r="P42" s="235" t="str">
        <f t="array" ref="P42">IFERROR(INDEX('計測入力シート（ここのみ編集可）'!$BR$17:$BR$116,MATCH($A42&amp;$B42,'計測入力シート（ここのみ編集可）'!$BM$17:$BM$116,0)),"")</f>
        <v>-</v>
      </c>
      <c r="Q42" s="237">
        <f t="array" ref="Q42">IFERROR(INDEX('計測入力シート（ここのみ編集可）'!$BL$17:$BL$116,MATCH($A42&amp;$B42,'計測入力シート（ここのみ編集可）'!$BM$17:$BM$116,0)),"")</f>
        <v>38</v>
      </c>
    </row>
    <row r="43" ht="18.75" customHeight="1">
      <c r="A43" s="86" t="s">
        <v>85</v>
      </c>
      <c r="B43" s="86">
        <v>39.0</v>
      </c>
      <c r="C43" s="86"/>
      <c r="D43" s="238" t="str">
        <f t="array" ref="D43">IFERROR(INDEX('計測入力シート（ここのみ編集可）'!$B$17:$B$116,MATCH($A43&amp;$B43,'計測入力シート（ここのみ編集可）'!$BM$17:$BM$116,0)),"")</f>
        <v>D</v>
      </c>
      <c r="E43" s="233" t="str">
        <f t="array" ref="E43">IFERROR(INDEX('計測入力シート（ここのみ編集可）'!$D$17:$D$116,MATCH($A43&amp;$B43,'計測入力シート（ここのみ編集可）'!$BM$17:$BM$116,0)),"")</f>
        <v>タンビーナ</v>
      </c>
      <c r="F43" s="233" t="str">
        <f t="array" ref="F43">IFERROR(INDEX('計測入力シート（ここのみ編集可）'!$E$17:$E$116,MATCH($A43&amp;$B43,'計測入力シート（ここのみ編集可）'!$BM$17:$BM$116,0)),"")</f>
        <v>MT-03</v>
      </c>
      <c r="G43" s="234" t="str">
        <f t="array" ref="G43">IFERROR(INDEX('計測入力シート（ここのみ編集可）'!$AW$17:$AW$116,MATCH($A43&amp;$B43,'計測入力シート（ここのみ編集可）'!$BM$17:$BM$116,0)),"")</f>
        <v>9:99:999</v>
      </c>
      <c r="H43" s="233" t="str">
        <f t="array" ref="H43">IFERROR(INDEX('計測入力シート（ここのみ編集可）'!$AY$17:$AY$116,MATCH($A43&amp;$B43,'計測入力シート（ここのみ編集可）'!$BM$17:$BM$116,0)),"")</f>
        <v>MC</v>
      </c>
      <c r="I43" s="235" t="str">
        <f t="array" ref="I43">IFERROR(INDEX('計測入力シート（ここのみ編集可）'!$AZ$17:$AZ$116,MATCH($A43&amp;$B43,'計測入力シート（ここのみ編集可）'!$BM$17:$BM$116,0)),"")</f>
        <v>2:00:283</v>
      </c>
      <c r="J43" s="233" t="str">
        <f t="array" ref="J43">IFERROR(INDEX('計測入力シート（ここのみ編集可）'!$BB$17:$BB$116,MATCH($A43&amp;$B43,'計測入力シート（ここのみ編集可）'!$BM$17:$BM$116,0)),"")</f>
        <v>-</v>
      </c>
      <c r="K43" s="235" t="str">
        <f t="array" ref="K43">IFERROR(INDEX('計測入力シート（ここのみ編集可）'!$BC$17:$BC$116,MATCH($A43&amp;$B43,'計測入力シート（ここのみ編集可）'!$BM$17:$BM$116,0)),"")</f>
        <v>2:00:283</v>
      </c>
      <c r="L43" s="236">
        <f t="array" ref="L43">IFERROR(INDEX('計測入力シート（ここのみ編集可）'!$BD$17:$BD$116,MATCH($A43&amp;$B43,'計測入力シート（ここのみ編集可）'!$BM$17:$BM$116,0)),"")</f>
        <v>1.232332029</v>
      </c>
      <c r="M43" s="236">
        <f t="array" ref="M43">IFERROR(INDEX('計測入力シート（ここのみ編集可）'!$BE$17:$BE$116,MATCH($A43&amp;$B43,'計測入力シート（ここのみ編集可）'!$BM$17:$BM$116,0)),"")</f>
        <v>1.232332029</v>
      </c>
      <c r="N43" s="235">
        <f t="array" ref="N43">IFERROR(INDEX('計測入力シート（ここのみ編集可）'!$BN$17:$BN$116,MATCH($A43&amp;$B43,'計測入力シート（ここのみ編集可）'!$BM$17:$BM$116,0)),"")</f>
        <v>12</v>
      </c>
      <c r="O43" s="235" t="str">
        <f t="array" ref="O43">IFERROR(INDEX('計測入力シート（ここのみ編集可）'!$BP$17:$BP$116,MATCH($A43&amp;$B43,'計測入力シート（ここのみ編集可）'!$BM$17:$BM$116,0)),"")</f>
        <v>-</v>
      </c>
      <c r="P43" s="235" t="str">
        <f t="array" ref="P43">IFERROR(INDEX('計測入力シート（ここのみ編集可）'!$BR$17:$BR$116,MATCH($A43&amp;$B43,'計測入力シート（ここのみ編集可）'!$BM$17:$BM$116,0)),"")</f>
        <v>-</v>
      </c>
      <c r="Q43" s="237">
        <f t="array" ref="Q43">IFERROR(INDEX('計測入力シート（ここのみ編集可）'!$BL$17:$BL$116,MATCH($A43&amp;$B43,'計測入力シート（ここのみ編集可）'!$BM$17:$BM$116,0)),"")</f>
        <v>40</v>
      </c>
    </row>
    <row r="44" ht="18.75" customHeight="1">
      <c r="A44" s="86" t="s">
        <v>85</v>
      </c>
      <c r="B44" s="86">
        <v>40.0</v>
      </c>
      <c r="C44" s="86"/>
      <c r="D44" s="238" t="str">
        <f t="array" ref="D44">IFERROR(INDEX('計測入力シート（ここのみ編集可）'!$B$17:$B$116,MATCH($A44&amp;$B44,'計測入力シート（ここのみ編集可）'!$BM$17:$BM$116,0)),"")</f>
        <v>D</v>
      </c>
      <c r="E44" s="233" t="str">
        <f t="array" ref="E44">IFERROR(INDEX('計測入力シート（ここのみ編集可）'!$D$17:$D$116,MATCH($A44&amp;$B44,'計測入力シート（ここのみ編集可）'!$BM$17:$BM$116,0)),"")</f>
        <v>ニダボちゃん</v>
      </c>
      <c r="F44" s="233" t="str">
        <f t="array" ref="F44">IFERROR(INDEX('計測入力シート（ここのみ編集可）'!$E$17:$E$116,MATCH($A44&amp;$B44,'計測入力シート（ここのみ編集可）'!$BM$17:$BM$116,0)),"")</f>
        <v>CBR250RR</v>
      </c>
      <c r="G44" s="234" t="str">
        <f t="array" ref="G44">IFERROR(INDEX('計測入力シート（ここのみ編集可）'!$AW$17:$AW$116,MATCH($A44&amp;$B44,'計測入力シート（ここのみ編集可）'!$BM$17:$BM$116,0)),"")</f>
        <v>2:03:159</v>
      </c>
      <c r="H44" s="233" t="str">
        <f t="array" ref="H44">IFERROR(INDEX('計測入力シート（ここのみ編集可）'!$AY$17:$AY$116,MATCH($A44&amp;$B44,'計測入力シート（ここのみ編集可）'!$BM$17:$BM$116,0)),"")</f>
        <v>-</v>
      </c>
      <c r="I44" s="235" t="str">
        <f t="array" ref="I44">IFERROR(INDEX('計測入力シート（ここのみ編集可）'!$AZ$17:$AZ$116,MATCH($A44&amp;$B44,'計測入力シート（ここのみ編集可）'!$BM$17:$BM$116,0)),"")</f>
        <v>2:01:746</v>
      </c>
      <c r="J44" s="233">
        <f t="array" ref="J44">IFERROR(INDEX('計測入力シート（ここのみ編集可）'!$BB$17:$BB$116,MATCH($A44&amp;$B44,'計測入力シート（ここのみ編集可）'!$BM$17:$BM$116,0)),"")</f>
        <v>1</v>
      </c>
      <c r="K44" s="235" t="str">
        <f t="array" ref="K44">IFERROR(INDEX('計測入力シート（ここのみ編集可）'!$BC$17:$BC$116,MATCH($A44&amp;$B44,'計測入力シート（ここのみ編集可）'!$BM$17:$BM$116,0)),"")</f>
        <v>2:02:746</v>
      </c>
      <c r="L44" s="236">
        <f t="array" ref="L44">IFERROR(INDEX('計測入力シート（ここのみ編集可）'!$BD$17:$BD$116,MATCH($A44&amp;$B44,'計測入力シート（ここのみ編集可）'!$BM$17:$BM$116,0)),"")</f>
        <v>1.257566133</v>
      </c>
      <c r="M44" s="236">
        <f t="array" ref="M44">IFERROR(INDEX('計測入力シート（ここのみ編集可）'!$BE$17:$BE$116,MATCH($A44&amp;$B44,'計測入力シート（ここのみ編集可）'!$BM$17:$BM$116,0)),"")</f>
        <v>1.257566133</v>
      </c>
      <c r="N44" s="235">
        <f t="array" ref="N44">IFERROR(INDEX('計測入力シート（ここのみ編集可）'!$BN$17:$BN$116,MATCH($A44&amp;$B44,'計測入力シート（ここのみ編集可）'!$BM$17:$BM$116,0)),"")</f>
        <v>13</v>
      </c>
      <c r="O44" s="235">
        <f t="array" ref="O44">IFERROR(INDEX('計測入力シート（ここのみ編集可）'!$BP$17:$BP$116,MATCH($A44&amp;$B44,'計測入力シート（ここのみ編集可）'!$BM$17:$BM$116,0)),"")</f>
        <v>4</v>
      </c>
      <c r="P44" s="235" t="str">
        <f t="array" ref="P44">IFERROR(INDEX('計測入力シート（ここのみ編集可）'!$BR$17:$BR$116,MATCH($A44&amp;$B44,'計測入力シート（ここのみ編集可）'!$BM$17:$BM$116,0)),"")</f>
        <v>-</v>
      </c>
      <c r="Q44" s="237">
        <f t="array" ref="Q44">IFERROR(INDEX('計測入力シート（ここのみ編集可）'!$BL$17:$BL$116,MATCH($A44&amp;$B44,'計測入力シート（ここのみ編集可）'!$BM$17:$BM$116,0)),"")</f>
        <v>43</v>
      </c>
    </row>
    <row r="45" ht="18.75" customHeight="1">
      <c r="A45" s="86" t="s">
        <v>85</v>
      </c>
      <c r="B45" s="86">
        <v>41.0</v>
      </c>
      <c r="C45" s="86"/>
      <c r="D45" s="238" t="str">
        <f t="array" ref="D45">IFERROR(INDEX('計測入力シート（ここのみ編集可）'!$B$17:$B$116,MATCH($A45&amp;$B45,'計測入力シート（ここのみ編集可）'!$BM$17:$BM$116,0)),"")</f>
        <v>R</v>
      </c>
      <c r="E45" s="233" t="str">
        <f t="array" ref="E45">IFERROR(INDEX('計測入力シート（ここのみ編集可）'!$D$17:$D$116,MATCH($A45&amp;$B45,'計測入力シート（ここのみ編集可）'!$BM$17:$BM$116,0)),"")</f>
        <v>ホッシー</v>
      </c>
      <c r="F45" s="233" t="str">
        <f t="array" ref="F45">IFERROR(INDEX('計測入力シート（ここのみ編集可）'!$E$17:$E$116,MATCH($A45&amp;$B45,'計測入力シート（ここのみ編集可）'!$BM$17:$BM$116,0)),"")</f>
        <v>Ninja250</v>
      </c>
      <c r="G45" s="234" t="str">
        <f t="array" ref="G45">IFERROR(INDEX('計測入力シート（ここのみ編集可）'!$AW$17:$AW$116,MATCH($A45&amp;$B45,'計測入力シート（ここのみ編集可）'!$BM$17:$BM$116,0)),"")</f>
        <v>2:00:341</v>
      </c>
      <c r="H45" s="233">
        <f t="array" ref="H45">IFERROR(INDEX('計測入力シート（ここのみ編集可）'!$AY$17:$AY$116,MATCH($A45&amp;$B45,'計測入力シート（ここのみ編集可）'!$BM$17:$BM$116,0)),"")</f>
        <v>1</v>
      </c>
      <c r="I45" s="235" t="str">
        <f t="array" ref="I45">IFERROR(INDEX('計測入力シート（ここのみ編集可）'!$AZ$17:$AZ$116,MATCH($A45&amp;$B45,'計測入力シート（ここのみ編集可）'!$BM$17:$BM$116,0)),"")</f>
        <v>1:57:711</v>
      </c>
      <c r="J45" s="233" t="str">
        <f t="array" ref="J45">IFERROR(INDEX('計測入力シート（ここのみ編集可）'!$BB$17:$BB$116,MATCH($A45&amp;$B45,'計測入力シート（ここのみ編集可）'!$BM$17:$BM$116,0)),"")</f>
        <v>-</v>
      </c>
      <c r="K45" s="235" t="str">
        <f t="array" ref="K45">IFERROR(INDEX('計測入力シート（ここのみ編集可）'!$BC$17:$BC$116,MATCH($A45&amp;$B45,'計測入力シート（ここのみ編集可）'!$BM$17:$BM$116,0)),"")</f>
        <v>1:57:711</v>
      </c>
      <c r="L45" s="236">
        <f t="array" ref="L45">IFERROR(INDEX('計測入力シート（ここのみ編集可）'!$BD$17:$BD$116,MATCH($A45&amp;$B45,'計測入力シート（ここのみ編集可）'!$BM$17:$BM$116,0)),"")</f>
        <v>1.20598119</v>
      </c>
      <c r="M45" s="236">
        <f t="array" ref="M45">IFERROR(INDEX('計測入力シート（ここのみ編集可）'!$BE$17:$BE$116,MATCH($A45&amp;$B45,'計測入力シート（ここのみ編集可）'!$BM$17:$BM$116,0)),"")</f>
        <v>1.20598119</v>
      </c>
      <c r="N45" s="235">
        <f t="array" ref="N45">IFERROR(INDEX('計測入力シート（ここのみ編集可）'!$BN$17:$BN$116,MATCH($A45&amp;$B45,'計測入力シート（ここのみ編集可）'!$BM$17:$BM$116,0)),"")</f>
        <v>1</v>
      </c>
      <c r="O45" s="235">
        <f t="array" ref="O45">IFERROR(INDEX('計測入力シート（ここのみ編集可）'!$BP$17:$BP$116,MATCH($A45&amp;$B45,'計測入力シート（ここのみ編集可）'!$BM$17:$BM$116,0)),"")</f>
        <v>3</v>
      </c>
      <c r="P45" s="235" t="str">
        <f t="array" ref="P45">IFERROR(INDEX('計測入力シート（ここのみ編集可）'!$BR$17:$BR$116,MATCH($A45&amp;$B45,'計測入力シート（ここのみ編集可）'!$BM$17:$BM$116,0)),"")</f>
        <v>-</v>
      </c>
      <c r="Q45" s="237">
        <f t="array" ref="Q45">IFERROR(INDEX('計測入力シート（ここのみ編集可）'!$BL$17:$BL$116,MATCH($A45&amp;$B45,'計測入力シート（ここのみ編集可）'!$BM$17:$BM$116,0)),"")</f>
        <v>34</v>
      </c>
    </row>
    <row r="46" ht="18.75" customHeight="1">
      <c r="A46" s="86" t="s">
        <v>85</v>
      </c>
      <c r="B46" s="86">
        <v>42.0</v>
      </c>
      <c r="C46" s="86"/>
      <c r="D46" s="238" t="str">
        <f t="array" ref="D46">IFERROR(INDEX('計測入力シート（ここのみ編集可）'!$B$17:$B$116,MATCH($A46&amp;$B46,'計測入力シート（ここのみ編集可）'!$BM$17:$BM$116,0)),"")</f>
        <v>R</v>
      </c>
      <c r="E46" s="233" t="str">
        <f t="array" ref="E46">IFERROR(INDEX('計測入力シート（ここのみ編集可）'!$D$17:$D$116,MATCH($A46&amp;$B46,'計測入力シート（ここのみ編集可）'!$BM$17:$BM$116,0)),"")</f>
        <v>nagai7111</v>
      </c>
      <c r="F46" s="233" t="str">
        <f t="array" ref="F46">IFERROR(INDEX('計測入力シート（ここのみ編集可）'!$E$17:$E$116,MATCH($A46&amp;$B46,'計測入力シート（ここのみ編集可）'!$BM$17:$BM$116,0)),"")</f>
        <v>VTR</v>
      </c>
      <c r="G46" s="234" t="str">
        <f t="array" ref="G46">IFERROR(INDEX('計測入力シート（ここのみ編集可）'!$AW$17:$AW$116,MATCH($A46&amp;$B46,'計測入力シート（ここのみ編集可）'!$BM$17:$BM$116,0)),"")</f>
        <v>2:00:606</v>
      </c>
      <c r="H46" s="233" t="str">
        <f t="array" ref="H46">IFERROR(INDEX('計測入力シート（ここのみ編集可）'!$AY$17:$AY$116,MATCH($A46&amp;$B46,'計測入力シート（ここのみ編集可）'!$BM$17:$BM$116,0)),"")</f>
        <v>-</v>
      </c>
      <c r="I46" s="235" t="str">
        <f t="array" ref="I46">IFERROR(INDEX('計測入力シート（ここのみ編集可）'!$AZ$17:$AZ$116,MATCH($A46&amp;$B46,'計測入力シート（ここのみ編集可）'!$BM$17:$BM$116,0)),"")</f>
        <v>1:58:070</v>
      </c>
      <c r="J46" s="233" t="str">
        <f t="array" ref="J46">IFERROR(INDEX('計測入力シート（ここのみ編集可）'!$BB$17:$BB$116,MATCH($A46&amp;$B46,'計測入力シート（ここのみ編集可）'!$BM$17:$BM$116,0)),"")</f>
        <v>-</v>
      </c>
      <c r="K46" s="235" t="str">
        <f t="array" ref="K46">IFERROR(INDEX('計測入力シート（ここのみ編集可）'!$BC$17:$BC$116,MATCH($A46&amp;$B46,'計測入力シート（ここのみ編集可）'!$BM$17:$BM$116,0)),"")</f>
        <v>1:58:070</v>
      </c>
      <c r="L46" s="236">
        <f t="array" ref="L46">IFERROR(INDEX('計測入力シート（ここのみ編集可）'!$BD$17:$BD$116,MATCH($A46&amp;$B46,'計測入力シート（ここのみ編集可）'!$BM$17:$BM$116,0)),"")</f>
        <v>1.209659242</v>
      </c>
      <c r="M46" s="236">
        <f t="array" ref="M46">IFERROR(INDEX('計測入力シート（ここのみ編集可）'!$BE$17:$BE$116,MATCH($A46&amp;$B46,'計測入力シート（ここのみ編集可）'!$BM$17:$BM$116,0)),"")</f>
        <v>1.209659242</v>
      </c>
      <c r="N46" s="235">
        <f t="array" ref="N46">IFERROR(INDEX('計測入力シート（ここのみ編集可）'!$BN$17:$BN$116,MATCH($A46&amp;$B46,'計測入力シート（ここのみ編集可）'!$BM$17:$BM$116,0)),"")</f>
        <v>2</v>
      </c>
      <c r="O46" s="235" t="str">
        <f t="array" ref="O46">IFERROR(INDEX('計測入力シート（ここのみ編集可）'!$BP$17:$BP$116,MATCH($A46&amp;$B46,'計測入力シート（ここのみ編集可）'!$BM$17:$BM$116,0)),"")</f>
        <v>-</v>
      </c>
      <c r="P46" s="235" t="str">
        <f t="array" ref="P46">IFERROR(INDEX('計測入力シート（ここのみ編集可）'!$BR$17:$BR$116,MATCH($A46&amp;$B46,'計測入力シート（ここのみ編集可）'!$BM$17:$BM$116,0)),"")</f>
        <v>-</v>
      </c>
      <c r="Q46" s="237">
        <f t="array" ref="Q46">IFERROR(INDEX('計測入力シート（ここのみ編集可）'!$BL$17:$BL$116,MATCH($A46&amp;$B46,'計測入力シート（ここのみ編集可）'!$BM$17:$BM$116,0)),"")</f>
        <v>37</v>
      </c>
    </row>
    <row r="47" ht="18.75" customHeight="1">
      <c r="A47" s="86" t="s">
        <v>85</v>
      </c>
      <c r="B47" s="86">
        <v>43.0</v>
      </c>
      <c r="C47" s="86"/>
      <c r="D47" s="238" t="str">
        <f t="array" ref="D47">IFERROR(INDEX('計測入力シート（ここのみ編集可）'!$B$17:$B$116,MATCH($A47&amp;$B47,'計測入力シート（ここのみ編集可）'!$BM$17:$BM$116,0)),"")</f>
        <v>R</v>
      </c>
      <c r="E47" s="233" t="str">
        <f t="array" ref="E47">IFERROR(INDEX('計測入力シート（ここのみ編集可）'!$D$17:$D$116,MATCH($A47&amp;$B47,'計測入力シート（ここのみ編集可）'!$BM$17:$BM$116,0)),"")</f>
        <v>にんじゃ</v>
      </c>
      <c r="F47" s="233" t="str">
        <f t="array" ref="F47">IFERROR(INDEX('計測入力シート（ここのみ編集可）'!$E$17:$E$116,MATCH($A47&amp;$B47,'計測入力シート（ここのみ編集可）'!$BM$17:$BM$116,0)),"")</f>
        <v>GROM</v>
      </c>
      <c r="G47" s="234" t="str">
        <f t="array" ref="G47">IFERROR(INDEX('計測入力シート（ここのみ編集可）'!$AW$17:$AW$116,MATCH($A47&amp;$B47,'計測入力シート（ここのみ編集可）'!$BM$17:$BM$116,0)),"")</f>
        <v>2:06:466</v>
      </c>
      <c r="H47" s="233" t="str">
        <f t="array" ref="H47">IFERROR(INDEX('計測入力シート（ここのみ編集可）'!$AY$17:$AY$116,MATCH($A47&amp;$B47,'計測入力シート（ここのみ編集可）'!$BM$17:$BM$116,0)),"")</f>
        <v>-</v>
      </c>
      <c r="I47" s="235" t="str">
        <f t="array" ref="I47">IFERROR(INDEX('計測入力シート（ここのみ編集可）'!$AZ$17:$AZ$116,MATCH($A47&amp;$B47,'計測入力シート（ここのみ編集可）'!$BM$17:$BM$116,0)),"")</f>
        <v>2:05:058</v>
      </c>
      <c r="J47" s="233" t="str">
        <f t="array" ref="J47">IFERROR(INDEX('計測入力シート（ここのみ編集可）'!$BB$17:$BB$116,MATCH($A47&amp;$B47,'計測入力シート（ここのみ編集可）'!$BM$17:$BM$116,0)),"")</f>
        <v>-</v>
      </c>
      <c r="K47" s="235" t="str">
        <f t="array" ref="K47">IFERROR(INDEX('計測入力シート（ここのみ編集可）'!$BC$17:$BC$116,MATCH($A47&amp;$B47,'計測入力シート（ここのみ編集可）'!$BM$17:$BM$116,0)),"")</f>
        <v>2:05:058</v>
      </c>
      <c r="L47" s="236">
        <f t="array" ref="L47">IFERROR(INDEX('計測入力シート（ここのみ編集可）'!$BD$17:$BD$116,MATCH($A47&amp;$B47,'計測入力シート（ここのみ編集可）'!$BM$17:$BM$116,0)),"")</f>
        <v>1.281253202</v>
      </c>
      <c r="M47" s="236">
        <f t="array" ref="M47">IFERROR(INDEX('計測入力シート（ここのみ編集可）'!$BE$17:$BE$116,MATCH($A47&amp;$B47,'計測入力シート（ここのみ編集可）'!$BM$17:$BM$116,0)),"")</f>
        <v>1.281253202</v>
      </c>
      <c r="N47" s="235">
        <f t="array" ref="N47">IFERROR(INDEX('計測入力シート（ここのみ編集可）'!$BN$17:$BN$116,MATCH($A47&amp;$B47,'計測入力シート（ここのみ編集可）'!$BM$17:$BM$116,0)),"")</f>
        <v>3</v>
      </c>
      <c r="O47" s="235" t="str">
        <f t="array" ref="O47">IFERROR(INDEX('計測入力シート（ここのみ編集可）'!$BP$17:$BP$116,MATCH($A47&amp;$B47,'計測入力シート（ここのみ編集可）'!$BM$17:$BM$116,0)),"")</f>
        <v>-</v>
      </c>
      <c r="P47" s="235">
        <f t="array" ref="P47">IFERROR(INDEX('計測入力シート（ここのみ編集可）'!$BR$17:$BR$116,MATCH($A47&amp;$B47,'計測入力シート（ここのみ編集可）'!$BM$17:$BM$116,0)),"")</f>
        <v>3</v>
      </c>
      <c r="Q47" s="237">
        <f t="array" ref="Q47">IFERROR(INDEX('計測入力シート（ここのみ編集可）'!$BL$17:$BL$116,MATCH($A47&amp;$B47,'計測入力シート（ここのみ編集可）'!$BM$17:$BM$116,0)),"")</f>
        <v>44</v>
      </c>
    </row>
    <row r="48" ht="18.75" customHeight="1">
      <c r="A48" s="86" t="s">
        <v>85</v>
      </c>
      <c r="B48" s="86">
        <v>44.0</v>
      </c>
      <c r="C48" s="86"/>
      <c r="D48" s="238" t="str">
        <f t="array" ref="D48">IFERROR(INDEX('計測入力シート（ここのみ編集可）'!$B$17:$B$116,MATCH($A48&amp;$B48,'計測入力シート（ここのみ編集可）'!$BM$17:$BM$116,0)),"")</f>
        <v>N</v>
      </c>
      <c r="E48" s="233" t="str">
        <f t="array" ref="E48">IFERROR(INDEX('計測入力シート（ここのみ編集可）'!$D$17:$D$116,MATCH($A48&amp;$B48,'計測入力シート（ここのみ編集可）'!$BM$17:$BM$116,0)),"")</f>
        <v>はるか</v>
      </c>
      <c r="F48" s="233" t="str">
        <f t="array" ref="F48">IFERROR(INDEX('計測入力シート（ここのみ編集可）'!$E$17:$E$116,MATCH($A48&amp;$B48,'計測入力シート（ここのみ編集可）'!$BM$17:$BM$116,0)),"")</f>
        <v>GROM</v>
      </c>
      <c r="G48" s="234" t="str">
        <f t="array" ref="G48">IFERROR(INDEX('計測入力シート（ここのみ編集可）'!$AW$17:$AW$116,MATCH($A48&amp;$B48,'計測入力シート（ここのみ編集可）'!$BM$17:$BM$116,0)),"")</f>
        <v>1:52:831</v>
      </c>
      <c r="H48" s="233" t="str">
        <f t="array" ref="H48">IFERROR(INDEX('計測入力シート（ここのみ編集可）'!$AY$17:$AY$116,MATCH($A48&amp;$B48,'計測入力シート（ここのみ編集可）'!$BM$17:$BM$116,0)),"")</f>
        <v>-</v>
      </c>
      <c r="I48" s="235" t="str">
        <f t="array" ref="I48">IFERROR(INDEX('計測入力シート（ここのみ編集可）'!$AZ$17:$AZ$116,MATCH($A48&amp;$B48,'計測入力シート（ここのみ編集可）'!$BM$17:$BM$116,0)),"")</f>
        <v>9:99:999</v>
      </c>
      <c r="J48" s="233" t="str">
        <f t="array" ref="J48">IFERROR(INDEX('計測入力シート（ここのみ編集可）'!$BB$17:$BB$116,MATCH($A48&amp;$B48,'計測入力シート（ここのみ編集可）'!$BM$17:$BM$116,0)),"")</f>
        <v>MC</v>
      </c>
      <c r="K48" s="235" t="str">
        <f t="array" ref="K48">IFERROR(INDEX('計測入力シート（ここのみ編集可）'!$BC$17:$BC$116,MATCH($A48&amp;$B48,'計測入力シート（ここのみ編集可）'!$BM$17:$BM$116,0)),"")</f>
        <v>1:52:831</v>
      </c>
      <c r="L48" s="236">
        <f t="array" ref="L48">IFERROR(INDEX('計測入力シート（ここのみ編集可）'!$BD$17:$BD$116,MATCH($A48&amp;$B48,'計測入力シート（ここのみ編集可）'!$BM$17:$BM$116,0)),"")</f>
        <v>1.155984263</v>
      </c>
      <c r="M48" s="236">
        <f t="array" ref="M48">IFERROR(INDEX('計測入力シート（ここのみ編集可）'!$BE$17:$BE$116,MATCH($A48&amp;$B48,'計測入力シート（ここのみ編集可）'!$BM$17:$BM$116,0)),"")</f>
        <v>1.155984263</v>
      </c>
      <c r="N48" s="235">
        <f t="array" ref="N48">IFERROR(INDEX('計測入力シート（ここのみ編集可）'!$BN$17:$BN$116,MATCH($A48&amp;$B48,'計測入力シート（ここのみ編集可）'!$BM$17:$BM$116,0)),"")</f>
        <v>1</v>
      </c>
      <c r="O48" s="235" t="str">
        <f t="array" ref="O48">IFERROR(INDEX('計測入力シート（ここのみ編集可）'!$BP$17:$BP$116,MATCH($A48&amp;$B48,'計測入力シート（ここのみ編集可）'!$BM$17:$BM$116,0)),"")</f>
        <v>-</v>
      </c>
      <c r="P48" s="235">
        <f t="array" ref="P48">IFERROR(INDEX('計測入力シート（ここのみ編集可）'!$BR$17:$BR$116,MATCH($A48&amp;$B48,'計測入力シート（ここのみ編集可）'!$BM$17:$BM$116,0)),"")</f>
        <v>1</v>
      </c>
      <c r="Q48" s="237">
        <f t="array" ref="Q48">IFERROR(INDEX('計測入力シート（ここのみ編集可）'!$BL$17:$BL$116,MATCH($A48&amp;$B48,'計測入力シート（ここのみ編集可）'!$BM$17:$BM$116,0)),"")</f>
        <v>27</v>
      </c>
    </row>
    <row r="49" ht="18.75" customHeight="1">
      <c r="A49" s="86" t="s">
        <v>85</v>
      </c>
      <c r="B49" s="86">
        <v>45.0</v>
      </c>
      <c r="C49" s="86"/>
      <c r="D49" s="238" t="str">
        <f t="array" ref="D49">IFERROR(INDEX('計測入力シート（ここのみ編集可）'!$B$17:$B$116,MATCH($A49&amp;$B49,'計測入力シート（ここのみ編集可）'!$BM$17:$BM$116,0)),"")</f>
        <v>N</v>
      </c>
      <c r="E49" s="233" t="str">
        <f t="array" ref="E49">IFERROR(INDEX('計測入力シート（ここのみ編集可）'!$D$17:$D$116,MATCH($A49&amp;$B49,'計測入力シート（ここのみ編集可）'!$BM$17:$BM$116,0)),"")</f>
        <v>S hin</v>
      </c>
      <c r="F49" s="233" t="str">
        <f t="array" ref="F49">IFERROR(INDEX('計測入力シート（ここのみ編集可）'!$E$17:$E$116,MATCH($A49&amp;$B49,'計測入力シート（ここのみ編集可）'!$BM$17:$BM$116,0)),"")</f>
        <v>GROM</v>
      </c>
      <c r="G49" s="234" t="str">
        <f t="array" ref="G49">IFERROR(INDEX('計測入力シート（ここのみ編集可）'!$AW$17:$AW$116,MATCH($A49&amp;$B49,'計測入力シート（ここのみ編集可）'!$BM$17:$BM$116,0)),"")</f>
        <v>1:58:934</v>
      </c>
      <c r="H49" s="233" t="str">
        <f t="array" ref="H49">IFERROR(INDEX('計測入力シート（ここのみ編集可）'!$AY$17:$AY$116,MATCH($A49&amp;$B49,'計測入力シート（ここのみ編集可）'!$BM$17:$BM$116,0)),"")</f>
        <v>-</v>
      </c>
      <c r="I49" s="235" t="str">
        <f t="array" ref="I49">IFERROR(INDEX('計測入力シート（ここのみ編集可）'!$AZ$17:$AZ$116,MATCH($A49&amp;$B49,'計測入力シート（ここのみ編集可）'!$BM$17:$BM$116,0)),"")</f>
        <v>1:55:826</v>
      </c>
      <c r="J49" s="233">
        <f t="array" ref="J49">IFERROR(INDEX('計測入力シート（ここのみ編集可）'!$BB$17:$BB$116,MATCH($A49&amp;$B49,'計測入力シート（ここのみ編集可）'!$BM$17:$BM$116,0)),"")</f>
        <v>1</v>
      </c>
      <c r="K49" s="235" t="str">
        <f t="array" ref="K49">IFERROR(INDEX('計測入力シート（ここのみ編集可）'!$BC$17:$BC$116,MATCH($A49&amp;$B49,'計測入力シート（ここのみ編集可）'!$BM$17:$BM$116,0)),"")</f>
        <v>1:56:826</v>
      </c>
      <c r="L49" s="236">
        <f t="array" ref="L49">IFERROR(INDEX('計測入力シート（ここのみ編集可）'!$BD$17:$BD$116,MATCH($A49&amp;$B49,'計測入力シート（ここのみ編集可）'!$BM$17:$BM$116,0)),"")</f>
        <v>1.196914124</v>
      </c>
      <c r="M49" s="236">
        <f t="array" ref="M49">IFERROR(INDEX('計測入力シート（ここのみ編集可）'!$BE$17:$BE$116,MATCH($A49&amp;$B49,'計測入力シート（ここのみ編集可）'!$BM$17:$BM$116,0)),"")</f>
        <v>1.196914124</v>
      </c>
      <c r="N49" s="235">
        <f t="array" ref="N49">IFERROR(INDEX('計測入力シート（ここのみ編集可）'!$BN$17:$BN$116,MATCH($A49&amp;$B49,'計測入力シート（ここのみ編集可）'!$BM$17:$BM$116,0)),"")</f>
        <v>2</v>
      </c>
      <c r="O49" s="235" t="str">
        <f t="array" ref="O49">IFERROR(INDEX('計測入力シート（ここのみ編集可）'!$BP$17:$BP$116,MATCH($A49&amp;$B49,'計測入力シート（ここのみ編集可）'!$BM$17:$BM$116,0)),"")</f>
        <v>-</v>
      </c>
      <c r="P49" s="235">
        <f t="array" ref="P49">IFERROR(INDEX('計測入力シート（ここのみ編集可）'!$BR$17:$BR$116,MATCH($A49&amp;$B49,'計測入力シート（ここのみ編集可）'!$BM$17:$BM$116,0)),"")</f>
        <v>2</v>
      </c>
      <c r="Q49" s="237">
        <f t="array" ref="Q49">IFERROR(INDEX('計測入力シート（ここのみ編集可）'!$BL$17:$BL$116,MATCH($A49&amp;$B49,'計測入力シート（ここのみ編集可）'!$BM$17:$BM$116,0)),"")</f>
        <v>32</v>
      </c>
    </row>
    <row r="50" ht="18.75" customHeight="1">
      <c r="A50" s="86" t="s">
        <v>85</v>
      </c>
      <c r="B50" s="86">
        <v>46.0</v>
      </c>
      <c r="C50" s="86"/>
      <c r="D50" s="238" t="str">
        <f t="array" ref="D50">IFERROR(INDEX('計測入力シート（ここのみ編集可）'!$B$17:$B$116,MATCH($A50&amp;$B50,'計測入力シート（ここのみ編集可）'!$BM$17:$BM$116,0)),"")</f>
        <v>N</v>
      </c>
      <c r="E50" s="233" t="str">
        <f t="array" ref="E50">IFERROR(INDEX('計測入力シート（ここのみ編集可）'!$D$17:$D$116,MATCH($A50&amp;$B50,'計測入力シート（ここのみ編集可）'!$BM$17:$BM$116,0)),"")</f>
        <v>みつい</v>
      </c>
      <c r="F50" s="233" t="str">
        <f t="array" ref="F50">IFERROR(INDEX('計測入力シート（ここのみ編集可）'!$E$17:$E$116,MATCH($A50&amp;$B50,'計測入力シート（ここのみ編集可）'!$BM$17:$BM$116,0)),"")</f>
        <v>GSX250R</v>
      </c>
      <c r="G50" s="234" t="str">
        <f t="array" ref="G50">IFERROR(INDEX('計測入力シート（ここのみ編集可）'!$AW$17:$AW$116,MATCH($A50&amp;$B50,'計測入力シート（ここのみ編集可）'!$BM$17:$BM$116,0)),"")</f>
        <v>1:57:304</v>
      </c>
      <c r="H50" s="233" t="str">
        <f t="array" ref="H50">IFERROR(INDEX('計測入力シート（ここのみ編集可）'!$AY$17:$AY$116,MATCH($A50&amp;$B50,'計測入力シート（ここのみ編集可）'!$BM$17:$BM$116,0)),"")</f>
        <v>-</v>
      </c>
      <c r="I50" s="235" t="str">
        <f t="array" ref="I50">IFERROR(INDEX('計測入力シート（ここのみ編集可）'!$AZ$17:$AZ$116,MATCH($A50&amp;$B50,'計測入力シート（ここのみ編集可）'!$BM$17:$BM$116,0)),"")</f>
        <v>1:57:244</v>
      </c>
      <c r="J50" s="233">
        <f t="array" ref="J50">IFERROR(INDEX('計測入力シート（ここのみ編集可）'!$BB$17:$BB$116,MATCH($A50&amp;$B50,'計測入力シート（ここのみ編集可）'!$BM$17:$BM$116,0)),"")</f>
        <v>1</v>
      </c>
      <c r="K50" s="235" t="str">
        <f t="array" ref="K50">IFERROR(INDEX('計測入力シート（ここのみ編集可）'!$BC$17:$BC$116,MATCH($A50&amp;$B50,'計測入力シート（ここのみ編集可）'!$BM$17:$BM$116,0)),"")</f>
        <v>1:57:304</v>
      </c>
      <c r="L50" s="236">
        <f t="array" ref="L50">IFERROR(INDEX('計測入力シート（ここのみ編集可）'!$BD$17:$BD$116,MATCH($A50&amp;$B50,'計測入力シート（ここのみ編集可）'!$BM$17:$BM$116,0)),"")</f>
        <v>1.201811364</v>
      </c>
      <c r="M50" s="236">
        <f t="array" ref="M50">IFERROR(INDEX('計測入力シート（ここのみ編集可）'!$BE$17:$BE$116,MATCH($A50&amp;$B50,'計測入力シート（ここのみ編集可）'!$BM$17:$BM$116,0)),"")</f>
        <v>1.201811364</v>
      </c>
      <c r="N50" s="235">
        <f t="array" ref="N50">IFERROR(INDEX('計測入力シート（ここのみ編集可）'!$BN$17:$BN$116,MATCH($A50&amp;$B50,'計測入力シート（ここのみ編集可）'!$BM$17:$BM$116,0)),"")</f>
        <v>3</v>
      </c>
      <c r="O50" s="235" t="str">
        <f t="array" ref="O50">IFERROR(INDEX('計測入力シート（ここのみ編集可）'!$BP$17:$BP$116,MATCH($A50&amp;$B50,'計測入力シート（ここのみ編集可）'!$BM$17:$BM$116,0)),"")</f>
        <v>-</v>
      </c>
      <c r="P50" s="235" t="str">
        <f t="array" ref="P50">IFERROR(INDEX('計測入力シート（ここのみ編集可）'!$BR$17:$BR$116,MATCH($A50&amp;$B50,'計測入力シート（ここのみ編集可）'!$BM$17:$BM$116,0)),"")</f>
        <v>-</v>
      </c>
      <c r="Q50" s="237">
        <f t="array" ref="Q50">IFERROR(INDEX('計測入力シート（ここのみ編集可）'!$BL$17:$BL$116,MATCH($A50&amp;$B50,'計測入力シート（ここのみ編集可）'!$BM$17:$BM$116,0)),"")</f>
        <v>33</v>
      </c>
    </row>
    <row r="51" ht="18.75" customHeight="1">
      <c r="A51" s="86" t="s">
        <v>85</v>
      </c>
      <c r="B51" s="86">
        <v>47.0</v>
      </c>
      <c r="C51" s="86"/>
      <c r="D51" s="238" t="str">
        <f t="array" ref="D51">IFERROR(INDEX('計測入力シート（ここのみ編集可）'!$B$17:$B$116,MATCH($A51&amp;$B51,'計測入力シート（ここのみ編集可）'!$BM$17:$BM$116,0)),"")</f>
        <v>N</v>
      </c>
      <c r="E51" s="233" t="str">
        <f t="array" ref="E51">IFERROR(INDEX('計測入力シート（ここのみ編集可）'!$D$17:$D$116,MATCH($A51&amp;$B51,'計測入力シート（ここのみ編集可）'!$BM$17:$BM$116,0)),"")</f>
        <v>まる</v>
      </c>
      <c r="F51" s="233" t="str">
        <f t="array" ref="F51">IFERROR(INDEX('計測入力シート（ここのみ編集可）'!$E$17:$E$116,MATCH($A51&amp;$B51,'計測入力シート（ここのみ編集可）'!$BM$17:$BM$116,0)),"")</f>
        <v>MT-09</v>
      </c>
      <c r="G51" s="234" t="str">
        <f t="array" ref="G51">IFERROR(INDEX('計測入力シート（ここのみ編集可）'!$AW$17:$AW$116,MATCH($A51&amp;$B51,'計測入力シート（ここのみ編集可）'!$BM$17:$BM$116,0)),"")</f>
        <v>2:03:425</v>
      </c>
      <c r="H51" s="233" t="str">
        <f t="array" ref="H51">IFERROR(INDEX('計測入力シート（ここのみ編集可）'!$AY$17:$AY$116,MATCH($A51&amp;$B51,'計測入力シート（ここのみ編集可）'!$BM$17:$BM$116,0)),"")</f>
        <v>-</v>
      </c>
      <c r="I51" s="235" t="str">
        <f t="array" ref="I51">IFERROR(INDEX('計測入力シート（ここのみ編集可）'!$AZ$17:$AZ$116,MATCH($A51&amp;$B51,'計測入力シート（ここのみ編集可）'!$BM$17:$BM$116,0)),"")</f>
        <v>2:00:176</v>
      </c>
      <c r="J51" s="233" t="str">
        <f t="array" ref="J51">IFERROR(INDEX('計測入力シート（ここのみ編集可）'!$BB$17:$BB$116,MATCH($A51&amp;$B51,'計測入力シート（ここのみ編集可）'!$BM$17:$BM$116,0)),"")</f>
        <v>-</v>
      </c>
      <c r="K51" s="235" t="str">
        <f t="array" ref="K51">IFERROR(INDEX('計測入力シート（ここのみ編集可）'!$BC$17:$BC$116,MATCH($A51&amp;$B51,'計測入力シート（ここのみ編集可）'!$BM$17:$BM$116,0)),"")</f>
        <v>2:00:176</v>
      </c>
      <c r="L51" s="236">
        <f t="array" ref="L51">IFERROR(INDEX('計測入力シート（ここのみ編集可）'!$BD$17:$BD$116,MATCH($A51&amp;$B51,'計測入力シート（ここのみ編集可）'!$BM$17:$BM$116,0)),"")</f>
        <v>1.231235785</v>
      </c>
      <c r="M51" s="236">
        <f t="array" ref="M51">IFERROR(INDEX('計測入力シート（ここのみ編集可）'!$BE$17:$BE$116,MATCH($A51&amp;$B51,'計測入力シート（ここのみ編集可）'!$BM$17:$BM$116,0)),"")</f>
        <v>1.231235785</v>
      </c>
      <c r="N51" s="235">
        <f t="array" ref="N51">IFERROR(INDEX('計測入力シート（ここのみ編集可）'!$BN$17:$BN$116,MATCH($A51&amp;$B51,'計測入力シート（ここのみ編集可）'!$BM$17:$BM$116,0)),"")</f>
        <v>4</v>
      </c>
      <c r="O51" s="235" t="str">
        <f t="array" ref="O51">IFERROR(INDEX('計測入力シート（ここのみ編集可）'!$BP$17:$BP$116,MATCH($A51&amp;$B51,'計測入力シート（ここのみ編集可）'!$BM$17:$BM$116,0)),"")</f>
        <v>-</v>
      </c>
      <c r="P51" s="235" t="str">
        <f t="array" ref="P51">IFERROR(INDEX('計測入力シート（ここのみ編集可）'!$BR$17:$BR$116,MATCH($A51&amp;$B51,'計測入力シート（ここのみ編集可）'!$BM$17:$BM$116,0)),"")</f>
        <v>-</v>
      </c>
      <c r="Q51" s="237">
        <f t="array" ref="Q51">IFERROR(INDEX('計測入力シート（ここのみ編集可）'!$BL$17:$BL$116,MATCH($A51&amp;$B51,'計測入力シート（ここのみ編集可）'!$BM$17:$BM$116,0)),"")</f>
        <v>39</v>
      </c>
    </row>
    <row r="52" ht="18.75" customHeight="1">
      <c r="A52" s="86" t="s">
        <v>85</v>
      </c>
      <c r="B52" s="86">
        <v>48.0</v>
      </c>
      <c r="C52" s="86"/>
      <c r="D52" s="238" t="str">
        <f t="array" ref="D52">IFERROR(INDEX('計測入力シート（ここのみ編集可）'!$B$17:$B$116,MATCH($A52&amp;$B52,'計測入力シート（ここのみ編集可）'!$BM$17:$BM$116,0)),"")</f>
        <v>N</v>
      </c>
      <c r="E52" s="233" t="str">
        <f t="array" ref="E52">IFERROR(INDEX('計測入力シート（ここのみ編集可）'!$D$17:$D$116,MATCH($A52&amp;$B52,'計測入力シート（ここのみ編集可）'!$BM$17:$BM$116,0)),"")</f>
        <v>オカピー</v>
      </c>
      <c r="F52" s="233" t="str">
        <f t="array" ref="F52">IFERROR(INDEX('計測入力シート（ここのみ編集可）'!$E$17:$E$116,MATCH($A52&amp;$B52,'計測入力シート（ここのみ編集可）'!$BM$17:$BM$116,0)),"")</f>
        <v>VTR</v>
      </c>
      <c r="G52" s="234" t="str">
        <f t="array" ref="G52">IFERROR(INDEX('計測入力シート（ここのみ編集可）'!$AW$17:$AW$116,MATCH($A52&amp;$B52,'計測入力シート（ここのみ編集可）'!$BM$17:$BM$116,0)),"")</f>
        <v>2:05:240</v>
      </c>
      <c r="H52" s="233" t="str">
        <f t="array" ref="H52">IFERROR(INDEX('計測入力シート（ここのみ編集可）'!$AY$17:$AY$116,MATCH($A52&amp;$B52,'計測入力シート（ここのみ編集可）'!$BM$17:$BM$116,0)),"")</f>
        <v>-</v>
      </c>
      <c r="I52" s="235" t="str">
        <f t="array" ref="I52">IFERROR(INDEX('計測入力シート（ここのみ編集可）'!$AZ$17:$AZ$116,MATCH($A52&amp;$B52,'計測入力シート（ここのみ編集可）'!$BM$17:$BM$116,0)),"")</f>
        <v>2:01:614</v>
      </c>
      <c r="J52" s="233">
        <f t="array" ref="J52">IFERROR(INDEX('計測入力シート（ここのみ編集可）'!$BB$17:$BB$116,MATCH($A52&amp;$B52,'計測入力シート（ここのみ編集可）'!$BM$17:$BM$116,0)),"")</f>
        <v>1</v>
      </c>
      <c r="K52" s="235" t="str">
        <f t="array" ref="K52">IFERROR(INDEX('計測入力シート（ここのみ編集可）'!$BC$17:$BC$116,MATCH($A52&amp;$B52,'計測入力シート（ここのみ編集可）'!$BM$17:$BM$116,0)),"")</f>
        <v>2:02:614</v>
      </c>
      <c r="L52" s="236">
        <f t="array" ref="L52">IFERROR(INDEX('計測入力シート（ここのみ編集可）'!$BD$17:$BD$116,MATCH($A52&amp;$B52,'計測入力シート（ここのみ編集可）'!$BM$17:$BM$116,0)),"")</f>
        <v>1.256213757</v>
      </c>
      <c r="M52" s="236">
        <f t="array" ref="M52">IFERROR(INDEX('計測入力シート（ここのみ編集可）'!$BE$17:$BE$116,MATCH($A52&amp;$B52,'計測入力シート（ここのみ編集可）'!$BM$17:$BM$116,0)),"")</f>
        <v>1.256213757</v>
      </c>
      <c r="N52" s="235">
        <f t="array" ref="N52">IFERROR(INDEX('計測入力シート（ここのみ編集可）'!$BN$17:$BN$116,MATCH($A52&amp;$B52,'計測入力シート（ここのみ編集可）'!$BM$17:$BM$116,0)),"")</f>
        <v>5</v>
      </c>
      <c r="O52" s="235" t="str">
        <f t="array" ref="O52">IFERROR(INDEX('計測入力シート（ここのみ編集可）'!$BP$17:$BP$116,MATCH($A52&amp;$B52,'計測入力シート（ここのみ編集可）'!$BM$17:$BM$116,0)),"")</f>
        <v>-</v>
      </c>
      <c r="P52" s="235" t="str">
        <f t="array" ref="P52">IFERROR(INDEX('計測入力シート（ここのみ編集可）'!$BR$17:$BR$116,MATCH($A52&amp;$B52,'計測入力シート（ここのみ編集可）'!$BM$17:$BM$116,0)),"")</f>
        <v>-</v>
      </c>
      <c r="Q52" s="237">
        <f t="array" ref="Q52">IFERROR(INDEX('計測入力シート（ここのみ編集可）'!$BL$17:$BL$116,MATCH($A52&amp;$B52,'計測入力シート（ここのみ編集可）'!$BM$17:$BM$116,0)),"")</f>
        <v>42</v>
      </c>
    </row>
    <row r="53" ht="18.75" customHeight="1">
      <c r="A53" s="86" t="s">
        <v>85</v>
      </c>
      <c r="B53" s="86">
        <v>49.0</v>
      </c>
      <c r="C53" s="86"/>
      <c r="D53" s="238" t="str">
        <f t="array" ref="D53">IFERROR(INDEX('計測入力シート（ここのみ編集可）'!$B$17:$B$116,MATCH($A53&amp;$B53,'計測入力シート（ここのみ編集可）'!$BM$17:$BM$116,0)),"")</f>
        <v>N</v>
      </c>
      <c r="E53" s="233" t="str">
        <f t="array" ref="E53">IFERROR(INDEX('計測入力シート（ここのみ編集可）'!$D$17:$D$116,MATCH($A53&amp;$B53,'計測入力シート（ここのみ編集可）'!$BM$17:$BM$116,0)),"")</f>
        <v>こぱー</v>
      </c>
      <c r="F53" s="233" t="str">
        <f t="array" ref="F53">IFERROR(INDEX('計測入力シート（ここのみ編集可）'!$E$17:$E$116,MATCH($A53&amp;$B53,'計測入力シート（ここのみ編集可）'!$BM$17:$BM$116,0)),"")</f>
        <v>CB250R </v>
      </c>
      <c r="G53" s="234" t="str">
        <f t="array" ref="G53">IFERROR(INDEX('計測入力シート（ここのみ編集可）'!$AW$17:$AW$116,MATCH($A53&amp;$B53,'計測入力シート（ここのみ編集可）'!$BM$17:$BM$116,0)),"")</f>
        <v>9:99:999</v>
      </c>
      <c r="H53" s="233" t="str">
        <f t="array" ref="H53">IFERROR(INDEX('計測入力シート（ここのみ編集可）'!$AY$17:$AY$116,MATCH($A53&amp;$B53,'計測入力シート（ここのみ編集可）'!$BM$17:$BM$116,0)),"")</f>
        <v>MC</v>
      </c>
      <c r="I53" s="235" t="str">
        <f t="array" ref="I53">IFERROR(INDEX('計測入力シート（ここのみ編集可）'!$AZ$17:$AZ$116,MATCH($A53&amp;$B53,'計測入力シート（ここのみ編集可）'!$BM$17:$BM$116,0)),"")</f>
        <v>2:09:893</v>
      </c>
      <c r="J53" s="233" t="str">
        <f t="array" ref="J53">IFERROR(INDEX('計測入力シート（ここのみ編集可）'!$BB$17:$BB$116,MATCH($A53&amp;$B53,'計測入力シート（ここのみ編集可）'!$BM$17:$BM$116,0)),"")</f>
        <v>-</v>
      </c>
      <c r="K53" s="235" t="str">
        <f t="array" ref="K53">IFERROR(INDEX('計測入力シート（ここのみ編集可）'!$BC$17:$BC$116,MATCH($A53&amp;$B53,'計測入力シート（ここのみ編集可）'!$BM$17:$BM$116,0)),"")</f>
        <v>2:09:893</v>
      </c>
      <c r="L53" s="236">
        <f t="array" ref="L53">IFERROR(INDEX('計測入力シート（ここのみ編集可）'!$BD$17:$BD$116,MATCH($A53&amp;$B53,'計測入力シート（ここのみ編集可）'!$BM$17:$BM$116,0)),"")</f>
        <v>1.330789091</v>
      </c>
      <c r="M53" s="236">
        <f t="array" ref="M53">IFERROR(INDEX('計測入力シート（ここのみ編集可）'!$BE$17:$BE$116,MATCH($A53&amp;$B53,'計測入力シート（ここのみ編集可）'!$BM$17:$BM$116,0)),"")</f>
        <v>1.330789091</v>
      </c>
      <c r="N53" s="235">
        <f t="array" ref="N53">IFERROR(INDEX('計測入力シート（ここのみ編集可）'!$BN$17:$BN$116,MATCH($A53&amp;$B53,'計測入力シート（ここのみ編集可）'!$BM$17:$BM$116,0)),"")</f>
        <v>6</v>
      </c>
      <c r="O53" s="235" t="str">
        <f t="array" ref="O53">IFERROR(INDEX('計測入力シート（ここのみ編集可）'!$BP$17:$BP$116,MATCH($A53&amp;$B53,'計測入力シート（ここのみ編集可）'!$BM$17:$BM$116,0)),"")</f>
        <v>-</v>
      </c>
      <c r="P53" s="235" t="str">
        <f t="array" ref="P53">IFERROR(INDEX('計測入力シート（ここのみ編集可）'!$BR$17:$BR$116,MATCH($A53&amp;$B53,'計測入力シート（ここのみ編集可）'!$BM$17:$BM$116,0)),"")</f>
        <v>-</v>
      </c>
      <c r="Q53" s="237">
        <f t="array" ref="Q53">IFERROR(INDEX('計測入力シート（ここのみ編集可）'!$BL$17:$BL$116,MATCH($A53&amp;$B53,'計測入力シート（ここのみ編集可）'!$BM$17:$BM$116,0)),"")</f>
        <v>45</v>
      </c>
    </row>
    <row r="54" ht="18.75" customHeight="1">
      <c r="A54" s="86" t="s">
        <v>85</v>
      </c>
      <c r="B54" s="86">
        <v>50.0</v>
      </c>
      <c r="C54" s="86"/>
      <c r="D54" s="238" t="str">
        <f t="array" ref="D54">IFERROR(INDEX('計測入力シート（ここのみ編集可）'!$B$17:$B$116,MATCH($A54&amp;$B54,'計測入力シート（ここのみ編集可）'!$BM$17:$BM$116,0)),"")</f>
        <v>N</v>
      </c>
      <c r="E54" s="233" t="str">
        <f t="array" ref="E54">IFERROR(INDEX('計測入力シート（ここのみ編集可）'!$D$17:$D$116,MATCH($A54&amp;$B54,'計測入力シート（ここのみ編集可）'!$BM$17:$BM$116,0)),"")</f>
        <v>グチ</v>
      </c>
      <c r="F54" s="233" t="str">
        <f t="array" ref="F54">IFERROR(INDEX('計測入力シート（ここのみ編集可）'!$E$17:$E$116,MATCH($A54&amp;$B54,'計測入力シート（ここのみ編集可）'!$BM$17:$BM$116,0)),"")</f>
        <v>R1250GS</v>
      </c>
      <c r="G54" s="234" t="str">
        <f t="array" ref="G54">IFERROR(INDEX('計測入力シート（ここのみ編集可）'!$AW$17:$AW$116,MATCH($A54&amp;$B54,'計測入力シート（ここのみ編集可）'!$BM$17:$BM$116,0)),"")</f>
        <v>2:20:385</v>
      </c>
      <c r="H54" s="233">
        <f t="array" ref="H54">IFERROR(INDEX('計測入力シート（ここのみ編集可）'!$AY$17:$AY$116,MATCH($A54&amp;$B54,'計測入力シート（ここのみ編集可）'!$BM$17:$BM$116,0)),"")</f>
        <v>6</v>
      </c>
      <c r="I54" s="235" t="str">
        <f t="array" ref="I54">IFERROR(INDEX('計測入力シート（ここのみ編集可）'!$AZ$17:$AZ$116,MATCH($A54&amp;$B54,'計測入力シート（ここのみ編集可）'!$BM$17:$BM$116,0)),"")</f>
        <v>2:16:797</v>
      </c>
      <c r="J54" s="233" t="str">
        <f t="array" ref="J54">IFERROR(INDEX('計測入力シート（ここのみ編集可）'!$BB$17:$BB$116,MATCH($A54&amp;$B54,'計測入力シート（ここのみ編集可）'!$BM$17:$BM$116,0)),"")</f>
        <v>-</v>
      </c>
      <c r="K54" s="235" t="str">
        <f t="array" ref="K54">IFERROR(INDEX('計測入力シート（ここのみ編集可）'!$BC$17:$BC$116,MATCH($A54&amp;$B54,'計測入力シート（ここのみ編集可）'!$BM$17:$BM$116,0)),"")</f>
        <v>2:16:797</v>
      </c>
      <c r="L54" s="236">
        <f t="array" ref="L54">IFERROR(INDEX('計測入力シート（ここのみ編集可）'!$BD$17:$BD$116,MATCH($A54&amp;$B54,'計測入力シート（ここのみ編集可）'!$BM$17:$BM$116,0)),"")</f>
        <v>1.401522447</v>
      </c>
      <c r="M54" s="236">
        <f t="array" ref="M54">IFERROR(INDEX('計測入力シート（ここのみ編集可）'!$BE$17:$BE$116,MATCH($A54&amp;$B54,'計測入力シート（ここのみ編集可）'!$BM$17:$BM$116,0)),"")</f>
        <v>1.401522447</v>
      </c>
      <c r="N54" s="235">
        <f t="array" ref="N54">IFERROR(INDEX('計測入力シート（ここのみ編集可）'!$BN$17:$BN$116,MATCH($A54&amp;$B54,'計測入力シート（ここのみ編集可）'!$BM$17:$BM$116,0)),"")</f>
        <v>7</v>
      </c>
      <c r="O54" s="235" t="str">
        <f t="array" ref="O54">IFERROR(INDEX('計測入力シート（ここのみ編集可）'!$BP$17:$BP$116,MATCH($A54&amp;$B54,'計測入力シート（ここのみ編集可）'!$BM$17:$BM$116,0)),"")</f>
        <v>-</v>
      </c>
      <c r="P54" s="235" t="str">
        <f t="array" ref="P54">IFERROR(INDEX('計測入力シート（ここのみ編集可）'!$BR$17:$BR$116,MATCH($A54&amp;$B54,'計測入力シート（ここのみ編集可）'!$BM$17:$BM$116,0)),"")</f>
        <v>-</v>
      </c>
      <c r="Q54" s="237">
        <f t="array" ref="Q54">IFERROR(INDEX('計測入力シート（ここのみ編集可）'!$BL$17:$BL$116,MATCH($A54&amp;$B54,'計測入力シート（ここのみ編集可）'!$BM$17:$BM$116,0)),"")</f>
        <v>46</v>
      </c>
    </row>
    <row r="55" ht="18.75" customHeight="1">
      <c r="A55" s="86" t="s">
        <v>85</v>
      </c>
      <c r="B55" s="86">
        <v>51.0</v>
      </c>
      <c r="C55" s="86"/>
      <c r="D55" s="238" t="str">
        <f t="array" ref="D55">IFERROR(INDEX('計測入力シート（ここのみ編集可）'!$B$17:$B$116,MATCH($A55&amp;$B55,'計測入力シート（ここのみ編集可）'!$BM$17:$BM$116,0)),"")</f>
        <v>N</v>
      </c>
      <c r="E55" s="233" t="str">
        <f t="array" ref="E55">IFERROR(INDEX('計測入力シート（ここのみ編集可）'!$D$17:$D$116,MATCH($A55&amp;$B55,'計測入力シート（ここのみ編集可）'!$BM$17:$BM$116,0)),"")</f>
        <v>むねー</v>
      </c>
      <c r="F55" s="233" t="str">
        <f t="array" ref="F55">IFERROR(INDEX('計測入力シート（ここのみ編集可）'!$E$17:$E$116,MATCH($A55&amp;$B55,'計測入力シート（ここのみ編集可）'!$BM$17:$BM$116,0)),"")</f>
        <v>GROM</v>
      </c>
      <c r="G55" s="234" t="str">
        <f t="array" ref="G55">IFERROR(INDEX('計測入力シート（ここのみ編集可）'!$AW$17:$AW$116,MATCH($A55&amp;$B55,'計測入力シート（ここのみ編集可）'!$BM$17:$BM$116,0)),"")</f>
        <v>9:99:999</v>
      </c>
      <c r="H55" s="233" t="str">
        <f t="array" ref="H55">IFERROR(INDEX('計測入力シート（ここのみ編集可）'!$AY$17:$AY$116,MATCH($A55&amp;$B55,'計測入力シート（ここのみ編集可）'!$BM$17:$BM$116,0)),"")</f>
        <v>MC</v>
      </c>
      <c r="I55" s="235" t="str">
        <f t="array" ref="I55">IFERROR(INDEX('計測入力シート（ここのみ編集可）'!$AZ$17:$AZ$116,MATCH($A55&amp;$B55,'計測入力シート（ここのみ編集可）'!$BM$17:$BM$116,0)),"")</f>
        <v>2:19:060</v>
      </c>
      <c r="J55" s="233" t="str">
        <f t="array" ref="J55">IFERROR(INDEX('計測入力シート（ここのみ編集可）'!$BB$17:$BB$116,MATCH($A55&amp;$B55,'計測入力シート（ここのみ編集可）'!$BM$17:$BM$116,0)),"")</f>
        <v>-</v>
      </c>
      <c r="K55" s="235" t="str">
        <f t="array" ref="K55">IFERROR(INDEX('計測入力シート（ここのみ編集可）'!$BC$17:$BC$116,MATCH($A55&amp;$B55,'計測入力シート（ここのみ編集可）'!$BM$17:$BM$116,0)),"")</f>
        <v>2:19:060</v>
      </c>
      <c r="L55" s="236">
        <f t="array" ref="L55">IFERROR(INDEX('計測入力シート（ここのみ編集可）'!$BD$17:$BD$116,MATCH($A55&amp;$B55,'計測入力シート（ここのみ編集可）'!$BM$17:$BM$116,0)),"")</f>
        <v>1.424707497</v>
      </c>
      <c r="M55" s="236">
        <f t="array" ref="M55">IFERROR(INDEX('計測入力シート（ここのみ編集可）'!$BE$17:$BE$116,MATCH($A55&amp;$B55,'計測入力シート（ここのみ編集可）'!$BM$17:$BM$116,0)),"")</f>
        <v>1.424707497</v>
      </c>
      <c r="N55" s="235">
        <f t="array" ref="N55">IFERROR(INDEX('計測入力シート（ここのみ編集可）'!$BN$17:$BN$116,MATCH($A55&amp;$B55,'計測入力シート（ここのみ編集可）'!$BM$17:$BM$116,0)),"")</f>
        <v>8</v>
      </c>
      <c r="O55" s="235" t="str">
        <f t="array" ref="O55">IFERROR(INDEX('計測入力シート（ここのみ編集可）'!$BP$17:$BP$116,MATCH($A55&amp;$B55,'計測入力シート（ここのみ編集可）'!$BM$17:$BM$116,0)),"")</f>
        <v>-</v>
      </c>
      <c r="P55" s="235">
        <f t="array" ref="P55">IFERROR(INDEX('計測入力シート（ここのみ編集可）'!$BR$17:$BR$116,MATCH($A55&amp;$B55,'計測入力シート（ここのみ編集可）'!$BM$17:$BM$116,0)),"")</f>
        <v>4</v>
      </c>
      <c r="Q55" s="237">
        <f t="array" ref="Q55">IFERROR(INDEX('計測入力シート（ここのみ編集可）'!$BL$17:$BL$116,MATCH($A55&amp;$B55,'計測入力シート（ここのみ編集可）'!$BM$17:$BM$116,0)),"")</f>
        <v>47</v>
      </c>
    </row>
    <row r="56" ht="18.75" customHeight="1">
      <c r="A56" s="86" t="s">
        <v>85</v>
      </c>
      <c r="B56" s="86">
        <v>52.0</v>
      </c>
      <c r="C56" s="86"/>
      <c r="D56" s="238" t="str">
        <f t="array" ref="D56">IFERROR(INDEX('計測入力シート（ここのみ編集可）'!$B$17:$B$116,MATCH($A56&amp;$B56,'計測入力シート（ここのみ編集可）'!$BM$17:$BM$116,0)),"")</f>
        <v>N</v>
      </c>
      <c r="E56" s="233" t="str">
        <f t="array" ref="E56">IFERROR(INDEX('計測入力シート（ここのみ編集可）'!$D$17:$D$116,MATCH($A56&amp;$B56,'計測入力シート（ここのみ編集可）'!$BM$17:$BM$116,0)),"")</f>
        <v>まさじぃ</v>
      </c>
      <c r="F56" s="233" t="str">
        <f t="array" ref="F56">IFERROR(INDEX('計測入力シート（ここのみ編集可）'!$E$17:$E$116,MATCH($A56&amp;$B56,'計測入力シート（ここのみ編集可）'!$BM$17:$BM$116,0)),"")</f>
        <v>GSX-S1000</v>
      </c>
      <c r="G56" s="234" t="str">
        <f t="array" ref="G56">IFERROR(INDEX('計測入力シート（ここのみ編集可）'!$AW$17:$AW$116,MATCH($A56&amp;$B56,'計測入力シート（ここのみ編集可）'!$BM$17:$BM$116,0)),"")</f>
        <v>9:99:999</v>
      </c>
      <c r="H56" s="233" t="str">
        <f t="array" ref="H56">IFERROR(INDEX('計測入力シート（ここのみ編集可）'!$AY$17:$AY$116,MATCH($A56&amp;$B56,'計測入力シート（ここのみ編集可）'!$BM$17:$BM$116,0)),"")</f>
        <v>MC</v>
      </c>
      <c r="I56" s="235" t="str">
        <f t="array" ref="I56">IFERROR(INDEX('計測入力シート（ここのみ編集可）'!$AZ$17:$AZ$116,MATCH($A56&amp;$B56,'計測入力シート（ここのみ編集可）'!$BM$17:$BM$116,0)),"")</f>
        <v>2:17:950</v>
      </c>
      <c r="J56" s="233">
        <f t="array" ref="J56">IFERROR(INDEX('計測入力シート（ここのみ編集可）'!$BB$17:$BB$116,MATCH($A56&amp;$B56,'計測入力シート（ここのみ編集可）'!$BM$17:$BM$116,0)),"")</f>
        <v>2</v>
      </c>
      <c r="K56" s="235" t="str">
        <f t="array" ref="K56">IFERROR(INDEX('計測入力シート（ここのみ編集可）'!$BC$17:$BC$116,MATCH($A56&amp;$B56,'計測入力シート（ここのみ編集可）'!$BM$17:$BM$116,0)),"")</f>
        <v>2:19:950</v>
      </c>
      <c r="L56" s="236">
        <f t="array" ref="L56">IFERROR(INDEX('計測入力シート（ここのみ編集可）'!$BD$17:$BD$116,MATCH($A56&amp;$B56,'計測入力シート（ここのみ編集可）'!$BM$17:$BM$116,0)),"")</f>
        <v>1.433825789</v>
      </c>
      <c r="M56" s="236">
        <f t="array" ref="M56">IFERROR(INDEX('計測入力シート（ここのみ編集可）'!$BE$17:$BE$116,MATCH($A56&amp;$B56,'計測入力シート（ここのみ編集可）'!$BM$17:$BM$116,0)),"")</f>
        <v>1.433825789</v>
      </c>
      <c r="N56" s="235">
        <f t="array" ref="N56">IFERROR(INDEX('計測入力シート（ここのみ編集可）'!$BN$17:$BN$116,MATCH($A56&amp;$B56,'計測入力シート（ここのみ編集可）'!$BM$17:$BM$116,0)),"")</f>
        <v>9</v>
      </c>
      <c r="O56" s="235" t="str">
        <f t="array" ref="O56">IFERROR(INDEX('計測入力シート（ここのみ編集可）'!$BP$17:$BP$116,MATCH($A56&amp;$B56,'計測入力シート（ここのみ編集可）'!$BM$17:$BM$116,0)),"")</f>
        <v>-</v>
      </c>
      <c r="P56" s="235" t="str">
        <f t="array" ref="P56">IFERROR(INDEX('計測入力シート（ここのみ編集可）'!$BR$17:$BR$116,MATCH($A56&amp;$B56,'計測入力シート（ここのみ編集可）'!$BM$17:$BM$116,0)),"")</f>
        <v>-</v>
      </c>
      <c r="Q56" s="237">
        <f t="array" ref="Q56">IFERROR(INDEX('計測入力シート（ここのみ編集可）'!$BL$17:$BL$116,MATCH($A56&amp;$B56,'計測入力シート（ここのみ編集可）'!$BM$17:$BM$116,0)),"")</f>
        <v>48</v>
      </c>
    </row>
    <row r="57" ht="18.75" customHeight="1">
      <c r="A57" s="86" t="s">
        <v>85</v>
      </c>
      <c r="B57" s="86">
        <v>53.0</v>
      </c>
      <c r="C57" s="86"/>
      <c r="D57" s="238" t="str">
        <f t="array" ref="D57">IFERROR(INDEX('計測入力シート（ここのみ編集可）'!$B$17:$B$116,MATCH($A57&amp;$B57,'計測入力シート（ここのみ編集可）'!$BM$17:$BM$116,0)),"")</f>
        <v>N</v>
      </c>
      <c r="E57" s="233" t="str">
        <f t="array" ref="E57">IFERROR(INDEX('計測入力シート（ここのみ編集可）'!$D$17:$D$116,MATCH($A57&amp;$B57,'計測入力シート（ここのみ編集可）'!$BM$17:$BM$116,0)),"")</f>
        <v>EK9</v>
      </c>
      <c r="F57" s="233" t="str">
        <f t="array" ref="F57">IFERROR(INDEX('計測入力シート（ここのみ編集可）'!$E$17:$E$116,MATCH($A57&amp;$B57,'計測入力シート（ここのみ編集可）'!$BM$17:$BM$116,0)),"")</f>
        <v>NSR250</v>
      </c>
      <c r="G57" s="234" t="str">
        <f t="array" ref="G57">IFERROR(INDEX('計測入力シート（ここのみ編集可）'!$AW$17:$AW$116,MATCH($A57&amp;$B57,'計測入力シート（ここのみ編集可）'!$BM$17:$BM$116,0)),"")</f>
        <v>2:40:692</v>
      </c>
      <c r="H57" s="233" t="str">
        <f t="array" ref="H57">IFERROR(INDEX('計測入力シート（ここのみ編集可）'!$AY$17:$AY$116,MATCH($A57&amp;$B57,'計測入力シート（ここのみ編集可）'!$BM$17:$BM$116,0)),"")</f>
        <v>-</v>
      </c>
      <c r="I57" s="235" t="str">
        <f t="array" ref="I57">IFERROR(INDEX('計測入力シート（ここのみ編集可）'!$AZ$17:$AZ$116,MATCH($A57&amp;$B57,'計測入力シート（ここのみ編集可）'!$BM$17:$BM$116,0)),"")</f>
        <v>2:30:194</v>
      </c>
      <c r="J57" s="233" t="str">
        <f t="array" ref="J57">IFERROR(INDEX('計測入力シート（ここのみ編集可）'!$BB$17:$BB$116,MATCH($A57&amp;$B57,'計測入力シート（ここのみ編集可）'!$BM$17:$BM$116,0)),"")</f>
        <v>-</v>
      </c>
      <c r="K57" s="235" t="str">
        <f t="array" ref="K57">IFERROR(INDEX('計測入力シート（ここのみ編集可）'!$BC$17:$BC$116,MATCH($A57&amp;$B57,'計測入力シート（ここのみ編集可）'!$BM$17:$BM$116,0)),"")</f>
        <v>2:30:194</v>
      </c>
      <c r="L57" s="236">
        <f t="array" ref="L57">IFERROR(INDEX('計測入力シート（ここのみ編集可）'!$BD$17:$BD$116,MATCH($A57&amp;$B57,'計測入力シート（ここのみ編集可）'!$BM$17:$BM$116,0)),"")</f>
        <v>1.538778354</v>
      </c>
      <c r="M57" s="236">
        <f t="array" ref="M57">IFERROR(INDEX('計測入力シート（ここのみ編集可）'!$BE$17:$BE$116,MATCH($A57&amp;$B57,'計測入力シート（ここのみ編集可）'!$BM$17:$BM$116,0)),"")</f>
        <v>1.538778354</v>
      </c>
      <c r="N57" s="235">
        <f t="array" ref="N57">IFERROR(INDEX('計測入力シート（ここのみ編集可）'!$BN$17:$BN$116,MATCH($A57&amp;$B57,'計測入力シート（ここのみ編集可）'!$BM$17:$BM$116,0)),"")</f>
        <v>10</v>
      </c>
      <c r="O57" s="235">
        <f t="array" ref="O57">IFERROR(INDEX('計測入力シート（ここのみ編集可）'!$BP$17:$BP$116,MATCH($A57&amp;$B57,'計測入力シート（ここのみ編集可）'!$BM$17:$BM$116,0)),"")</f>
        <v>5</v>
      </c>
      <c r="P57" s="235" t="str">
        <f t="array" ref="P57">IFERROR(INDEX('計測入力シート（ここのみ編集可）'!$BR$17:$BR$116,MATCH($A57&amp;$B57,'計測入力シート（ここのみ編集可）'!$BM$17:$BM$116,0)),"")</f>
        <v>-</v>
      </c>
      <c r="Q57" s="237">
        <f t="array" ref="Q57">IFERROR(INDEX('計測入力シート（ここのみ編集可）'!$BL$17:$BL$116,MATCH($A57&amp;$B57,'計測入力シート（ここのみ編集可）'!$BM$17:$BM$116,0)),"")</f>
        <v>49</v>
      </c>
    </row>
    <row r="58" ht="18.75" customHeight="1">
      <c r="A58" s="86" t="s">
        <v>85</v>
      </c>
      <c r="B58" s="86">
        <v>54.0</v>
      </c>
      <c r="C58" s="86"/>
      <c r="D58" s="238" t="str">
        <f t="array" ref="D58">IFERROR(INDEX('計測入力シート（ここのみ編集可）'!$B$17:$B$116,MATCH($A58&amp;$B58,'計測入力シート（ここのみ編集可）'!$BM$17:$BM$116,0)),"")</f>
        <v>N</v>
      </c>
      <c r="E58" s="233" t="str">
        <f t="array" ref="E58">IFERROR(INDEX('計測入力シート（ここのみ編集可）'!$D$17:$D$116,MATCH($A58&amp;$B58,'計測入力シート（ここのみ編集可）'!$BM$17:$BM$116,0)),"")</f>
        <v>さかもっちゃん</v>
      </c>
      <c r="F58" s="233" t="str">
        <f t="array" ref="F58">IFERROR(INDEX('計測入力シート（ここのみ編集可）'!$E$17:$E$116,MATCH($A58&amp;$B58,'計測入力シート（ここのみ編集可）'!$BM$17:$BM$116,0)),"")</f>
        <v>690 DUKE</v>
      </c>
      <c r="G58" s="234" t="str">
        <f t="array" ref="G58">IFERROR(INDEX('計測入力シート（ここのみ編集可）'!$AW$17:$AW$116,MATCH($A58&amp;$B58,'計測入力シート（ここのみ編集可）'!$BM$17:$BM$116,0)),"")</f>
        <v>2:48:703</v>
      </c>
      <c r="H58" s="233" t="str">
        <f t="array" ref="H58">IFERROR(INDEX('計測入力シート（ここのみ編集可）'!$AY$17:$AY$116,MATCH($A58&amp;$B58,'計測入力シート（ここのみ編集可）'!$BM$17:$BM$116,0)),"")</f>
        <v>-</v>
      </c>
      <c r="I58" s="235" t="str">
        <f t="array" ref="I58">IFERROR(INDEX('計測入力シート（ここのみ編集可）'!$AZ$17:$AZ$116,MATCH($A58&amp;$B58,'計測入力シート（ここのみ編集可）'!$BM$17:$BM$116,0)),"")</f>
        <v>2:41:056</v>
      </c>
      <c r="J58" s="233" t="str">
        <f t="array" ref="J58">IFERROR(INDEX('計測入力シート（ここのみ編集可）'!$BB$17:$BB$116,MATCH($A58&amp;$B58,'計測入力シート（ここのみ編集可）'!$BM$17:$BM$116,0)),"")</f>
        <v>-</v>
      </c>
      <c r="K58" s="235" t="str">
        <f t="array" ref="K58">IFERROR(INDEX('計測入力シート（ここのみ編集可）'!$BC$17:$BC$116,MATCH($A58&amp;$B58,'計測入力シート（ここのみ編集可）'!$BM$17:$BM$116,0)),"")</f>
        <v>2:41:056</v>
      </c>
      <c r="L58" s="236">
        <f t="array" ref="L58">IFERROR(INDEX('計測入力シート（ここのみ編集可）'!$BD$17:$BD$116,MATCH($A58&amp;$B58,'計測入力シート（ここのみ編集可）'!$BM$17:$BM$116,0)),"")</f>
        <v>1.650062496</v>
      </c>
      <c r="M58" s="236">
        <f t="array" ref="M58">IFERROR(INDEX('計測入力シート（ここのみ編集可）'!$BE$17:$BE$116,MATCH($A58&amp;$B58,'計測入力シート（ここのみ編集可）'!$BM$17:$BM$116,0)),"")</f>
        <v>1.650062496</v>
      </c>
      <c r="N58" s="235">
        <f t="array" ref="N58">IFERROR(INDEX('計測入力シート（ここのみ編集可）'!$BN$17:$BN$116,MATCH($A58&amp;$B58,'計測入力シート（ここのみ編集可）'!$BM$17:$BM$116,0)),"")</f>
        <v>11</v>
      </c>
      <c r="O58" s="235" t="str">
        <f t="array" ref="O58">IFERROR(INDEX('計測入力シート（ここのみ編集可）'!$BP$17:$BP$116,MATCH($A58&amp;$B58,'計測入力シート（ここのみ編集可）'!$BM$17:$BM$116,0)),"")</f>
        <v>-</v>
      </c>
      <c r="P58" s="235" t="str">
        <f t="array" ref="P58">IFERROR(INDEX('計測入力シート（ここのみ編集可）'!$BR$17:$BR$116,MATCH($A58&amp;$B58,'計測入力シート（ここのみ編集可）'!$BM$17:$BM$116,0)),"")</f>
        <v>-</v>
      </c>
      <c r="Q58" s="237">
        <f t="array" ref="Q58">IFERROR(INDEX('計測入力シート（ここのみ編集可）'!$BL$17:$BL$116,MATCH($A58&amp;$B58,'計測入力シート（ここのみ編集可）'!$BM$17:$BM$116,0)),"")</f>
        <v>50</v>
      </c>
    </row>
    <row r="59" ht="18.75" customHeight="1">
      <c r="A59" s="86" t="s">
        <v>85</v>
      </c>
      <c r="B59" s="86">
        <v>55.0</v>
      </c>
      <c r="C59" s="86"/>
      <c r="D59" s="238" t="str">
        <f t="array" ref="D59">IFERROR(INDEX('計測入力シート（ここのみ編集可）'!$B$17:$B$116,MATCH($A59&amp;$B59,'計測入力シート（ここのみ編集可）'!$BM$17:$BM$116,0)),"")</f>
        <v/>
      </c>
      <c r="E59" s="233" t="str">
        <f t="array" ref="E59">IFERROR(INDEX('計測入力シート（ここのみ編集可）'!$D$17:$D$116,MATCH($A59&amp;$B59,'計測入力シート（ここのみ編集可）'!$BM$17:$BM$116,0)),"")</f>
        <v/>
      </c>
      <c r="F59" s="233" t="str">
        <f t="array" ref="F59">IFERROR(INDEX('計測入力シート（ここのみ編集可）'!$E$17:$E$116,MATCH($A59&amp;$B59,'計測入力シート（ここのみ編集可）'!$BM$17:$BM$116,0)),"")</f>
        <v/>
      </c>
      <c r="G59" s="234" t="str">
        <f t="array" ref="G59">IFERROR(INDEX('計測入力シート（ここのみ編集可）'!$AW$17:$AW$116,MATCH($A59&amp;$B59,'計測入力シート（ここのみ編集可）'!$BM$17:$BM$116,0)),"")</f>
        <v/>
      </c>
      <c r="H59" s="233" t="str">
        <f t="array" ref="H59">IFERROR(INDEX('計測入力シート（ここのみ編集可）'!$AY$17:$AY$116,MATCH($A59&amp;$B59,'計測入力シート（ここのみ編集可）'!$BM$17:$BM$116,0)),"")</f>
        <v/>
      </c>
      <c r="I59" s="235" t="str">
        <f t="array" ref="I59">IFERROR(INDEX('計測入力シート（ここのみ編集可）'!$AZ$17:$AZ$116,MATCH($A59&amp;$B59,'計測入力シート（ここのみ編集可）'!$BM$17:$BM$116,0)),"")</f>
        <v/>
      </c>
      <c r="J59" s="233" t="str">
        <f t="array" ref="J59">IFERROR(INDEX('計測入力シート（ここのみ編集可）'!$BB$17:$BB$116,MATCH($A59&amp;$B59,'計測入力シート（ここのみ編集可）'!$BM$17:$BM$116,0)),"")</f>
        <v/>
      </c>
      <c r="K59" s="235" t="str">
        <f t="array" ref="K59">IFERROR(INDEX('計測入力シート（ここのみ編集可）'!$BC$17:$BC$116,MATCH($A59&amp;$B59,'計測入力シート（ここのみ編集可）'!$BM$17:$BM$116,0)),"")</f>
        <v/>
      </c>
      <c r="L59" s="236" t="str">
        <f t="array" ref="L59">IFERROR(INDEX('計測入力シート（ここのみ編集可）'!$BD$17:$BD$116,MATCH($A59&amp;$B59,'計測入力シート（ここのみ編集可）'!$BM$17:$BM$116,0)),"")</f>
        <v/>
      </c>
      <c r="M59" s="236" t="str">
        <f t="array" ref="M59">IFERROR(INDEX('計測入力シート（ここのみ編集可）'!$BE$17:$BE$116,MATCH($A59&amp;$B59,'計測入力シート（ここのみ編集可）'!$BM$17:$BM$116,0)),"")</f>
        <v/>
      </c>
      <c r="N59" s="235" t="str">
        <f t="array" ref="N59">IFERROR(INDEX('計測入力シート（ここのみ編集可）'!$BN$17:$BN$116,MATCH($A59&amp;$B59,'計測入力シート（ここのみ編集可）'!$BM$17:$BM$116,0)),"")</f>
        <v/>
      </c>
      <c r="O59" s="235" t="str">
        <f t="array" ref="O59">IFERROR(INDEX('計測入力シート（ここのみ編集可）'!$BP$17:$BP$116,MATCH($A59&amp;$B59,'計測入力シート（ここのみ編集可）'!$BM$17:$BM$116,0)),"")</f>
        <v/>
      </c>
      <c r="P59" s="235" t="str">
        <f t="array" ref="P59">IFERROR(INDEX('計測入力シート（ここのみ編集可）'!$BR$17:$BR$116,MATCH($A59&amp;$B59,'計測入力シート（ここのみ編集可）'!$BM$17:$BM$116,0)),"")</f>
        <v/>
      </c>
      <c r="Q59" s="237" t="str">
        <f t="array" ref="Q59">IFERROR(INDEX('計測入力シート（ここのみ編集可）'!$BL$17:$BL$116,MATCH($A59&amp;$B59,'計測入力シート（ここのみ編集可）'!$BM$17:$BM$116,0)),"")</f>
        <v/>
      </c>
    </row>
    <row r="60" ht="18.75" customHeight="1">
      <c r="A60" s="86" t="s">
        <v>85</v>
      </c>
      <c r="B60" s="86">
        <v>56.0</v>
      </c>
      <c r="C60" s="86"/>
      <c r="D60" s="238" t="str">
        <f t="array" ref="D60">IFERROR(INDEX('計測入力シート（ここのみ編集可）'!$B$17:$B$116,MATCH($A60&amp;$B60,'計測入力シート（ここのみ編集可）'!$BM$17:$BM$116,0)),"")</f>
        <v/>
      </c>
      <c r="E60" s="233" t="str">
        <f t="array" ref="E60">IFERROR(INDEX('計測入力シート（ここのみ編集可）'!$D$17:$D$116,MATCH($A60&amp;$B60,'計測入力シート（ここのみ編集可）'!$BM$17:$BM$116,0)),"")</f>
        <v/>
      </c>
      <c r="F60" s="233" t="str">
        <f t="array" ref="F60">IFERROR(INDEX('計測入力シート（ここのみ編集可）'!$E$17:$E$116,MATCH($A60&amp;$B60,'計測入力シート（ここのみ編集可）'!$BM$17:$BM$116,0)),"")</f>
        <v/>
      </c>
      <c r="G60" s="234" t="str">
        <f t="array" ref="G60">IFERROR(INDEX('計測入力シート（ここのみ編集可）'!$AW$17:$AW$116,MATCH($A60&amp;$B60,'計測入力シート（ここのみ編集可）'!$BM$17:$BM$116,0)),"")</f>
        <v/>
      </c>
      <c r="H60" s="233" t="str">
        <f t="array" ref="H60">IFERROR(INDEX('計測入力シート（ここのみ編集可）'!$AY$17:$AY$116,MATCH($A60&amp;$B60,'計測入力シート（ここのみ編集可）'!$BM$17:$BM$116,0)),"")</f>
        <v/>
      </c>
      <c r="I60" s="235" t="str">
        <f t="array" ref="I60">IFERROR(INDEX('計測入力シート（ここのみ編集可）'!$AZ$17:$AZ$116,MATCH($A60&amp;$B60,'計測入力シート（ここのみ編集可）'!$BM$17:$BM$116,0)),"")</f>
        <v/>
      </c>
      <c r="J60" s="233" t="str">
        <f t="array" ref="J60">IFERROR(INDEX('計測入力シート（ここのみ編集可）'!$BB$17:$BB$116,MATCH($A60&amp;$B60,'計測入力シート（ここのみ編集可）'!$BM$17:$BM$116,0)),"")</f>
        <v/>
      </c>
      <c r="K60" s="235" t="str">
        <f t="array" ref="K60">IFERROR(INDEX('計測入力シート（ここのみ編集可）'!$BC$17:$BC$116,MATCH($A60&amp;$B60,'計測入力シート（ここのみ編集可）'!$BM$17:$BM$116,0)),"")</f>
        <v/>
      </c>
      <c r="L60" s="236" t="str">
        <f t="array" ref="L60">IFERROR(INDEX('計測入力シート（ここのみ編集可）'!$BD$17:$BD$116,MATCH($A60&amp;$B60,'計測入力シート（ここのみ編集可）'!$BM$17:$BM$116,0)),"")</f>
        <v/>
      </c>
      <c r="M60" s="236" t="str">
        <f t="array" ref="M60">IFERROR(INDEX('計測入力シート（ここのみ編集可）'!$BE$17:$BE$116,MATCH($A60&amp;$B60,'計測入力シート（ここのみ編集可）'!$BM$17:$BM$116,0)),"")</f>
        <v/>
      </c>
      <c r="N60" s="235" t="str">
        <f t="array" ref="N60">IFERROR(INDEX('計測入力シート（ここのみ編集可）'!$BN$17:$BN$116,MATCH($A60&amp;$B60,'計測入力シート（ここのみ編集可）'!$BM$17:$BM$116,0)),"")</f>
        <v/>
      </c>
      <c r="O60" s="235" t="str">
        <f t="array" ref="O60">IFERROR(INDEX('計測入力シート（ここのみ編集可）'!$BP$17:$BP$116,MATCH($A60&amp;$B60,'計測入力シート（ここのみ編集可）'!$BM$17:$BM$116,0)),"")</f>
        <v/>
      </c>
      <c r="P60" s="235" t="str">
        <f t="array" ref="P60">IFERROR(INDEX('計測入力シート（ここのみ編集可）'!$BR$17:$BR$116,MATCH($A60&amp;$B60,'計測入力シート（ここのみ編集可）'!$BM$17:$BM$116,0)),"")</f>
        <v/>
      </c>
      <c r="Q60" s="237" t="str">
        <f t="array" ref="Q60">IFERROR(INDEX('計測入力シート（ここのみ編集可）'!$BL$17:$BL$116,MATCH($A60&amp;$B60,'計測入力シート（ここのみ編集可）'!$BM$17:$BM$116,0)),"")</f>
        <v/>
      </c>
    </row>
    <row r="61" ht="20.25" customHeight="1"/>
    <row r="62" ht="20.25" customHeight="1"/>
    <row r="63" ht="20.25" customHeight="1"/>
    <row r="64" ht="20.25" customHeight="1"/>
    <row r="65" ht="20.25" customHeight="1"/>
    <row r="66" ht="20.25" customHeight="1"/>
  </sheetData>
  <mergeCells count="13">
    <mergeCell ref="L3:L4"/>
    <mergeCell ref="M3:M4"/>
    <mergeCell ref="N3:N4"/>
    <mergeCell ref="O3:O4"/>
    <mergeCell ref="P3:P4"/>
    <mergeCell ref="Q3:Q4"/>
    <mergeCell ref="D2:Q2"/>
    <mergeCell ref="D3:D4"/>
    <mergeCell ref="E3:E4"/>
    <mergeCell ref="F3:F4"/>
    <mergeCell ref="G3:H3"/>
    <mergeCell ref="I3:J3"/>
    <mergeCell ref="K3:K4"/>
  </mergeCells>
  <conditionalFormatting sqref="D5:D60">
    <cfRule type="cellIs" dxfId="3" priority="1" operator="equal">
      <formula>"A"</formula>
    </cfRule>
  </conditionalFormatting>
  <conditionalFormatting sqref="D5:D60">
    <cfRule type="cellIs" dxfId="4" priority="2" operator="equal">
      <formula>"B"</formula>
    </cfRule>
  </conditionalFormatting>
  <conditionalFormatting sqref="D5:D60">
    <cfRule type="cellIs" dxfId="5" priority="3" operator="equal">
      <formula>"C1"</formula>
    </cfRule>
  </conditionalFormatting>
  <conditionalFormatting sqref="D5:D60">
    <cfRule type="cellIs" dxfId="6" priority="4" operator="equal">
      <formula>"C2"</formula>
    </cfRule>
  </conditionalFormatting>
  <conditionalFormatting sqref="D5:D60">
    <cfRule type="cellIs" dxfId="7" priority="5" operator="equal">
      <formula>"D"</formula>
    </cfRule>
  </conditionalFormatting>
  <conditionalFormatting sqref="D5:D60">
    <cfRule type="cellIs" dxfId="8" priority="6" operator="equal">
      <formula>"R"</formula>
    </cfRule>
  </conditionalFormatting>
  <conditionalFormatting sqref="D5:D60">
    <cfRule type="cellIs" dxfId="9" priority="7" operator="equal">
      <formula>"N"</formula>
    </cfRule>
  </conditionalFormatting>
  <conditionalFormatting sqref="D5:D60">
    <cfRule type="cellIs" dxfId="10" priority="8" operator="equal">
      <formula>"NL"</formula>
    </cfRule>
  </conditionalFormatting>
  <conditionalFormatting sqref="D5:D60">
    <cfRule type="cellIs" dxfId="11" priority="9" operator="equal">
      <formula>"A"</formula>
    </cfRule>
  </conditionalFormatting>
  <printOptions gridLines="1" horizontalCentered="1"/>
  <pageMargins bottom="0.75" footer="0.0" header="0.0" left="0.7" right="0.7" top="0.75"/>
  <pageSetup fitToHeight="0" paperSize="9" cellComments="atEnd" orientation="portrait" pageOrder="overThenDown"/>
  <drawing r:id="rId1"/>
  <tableParts count="1">
    <tablePart r:id="rId3"/>
  </tableParts>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34343"/>
    <outlinePr summaryBelow="0" summaryRight="0"/>
  </sheetPr>
  <sheetViews>
    <sheetView workbookViewId="0"/>
  </sheetViews>
  <sheetFormatPr customHeight="1" defaultColWidth="12.63" defaultRowHeight="15.75"/>
  <cols>
    <col customWidth="1" min="1" max="1" width="6.13"/>
    <col customWidth="1" min="2" max="2" width="16.0"/>
    <col customWidth="1" min="3" max="11" width="15.75"/>
  </cols>
  <sheetData>
    <row r="1">
      <c r="A1" s="239" t="s">
        <v>86</v>
      </c>
      <c r="B1" s="240"/>
      <c r="C1" s="240"/>
      <c r="D1" s="240"/>
      <c r="E1" s="114"/>
      <c r="F1" s="241" t="s">
        <v>87</v>
      </c>
      <c r="G1" s="240"/>
      <c r="H1" s="114"/>
      <c r="I1" s="242" t="s">
        <v>88</v>
      </c>
      <c r="J1" s="243"/>
      <c r="K1" s="243"/>
      <c r="L1" s="243"/>
      <c r="M1" s="243"/>
      <c r="N1" s="243"/>
      <c r="O1" s="243"/>
      <c r="P1" s="243"/>
      <c r="Q1" s="243"/>
      <c r="R1" s="243"/>
      <c r="S1" s="243"/>
      <c r="T1" s="243"/>
      <c r="U1" s="243"/>
      <c r="V1" s="243"/>
      <c r="W1" s="243"/>
      <c r="X1" s="243"/>
      <c r="Y1" s="244"/>
    </row>
    <row r="2">
      <c r="A2" s="245" t="s">
        <v>89</v>
      </c>
      <c r="B2" s="245" t="s">
        <v>90</v>
      </c>
      <c r="C2" s="245" t="s">
        <v>1</v>
      </c>
      <c r="D2" s="245" t="s">
        <v>59</v>
      </c>
      <c r="E2" s="245" t="s">
        <v>17</v>
      </c>
      <c r="F2" s="246" t="s">
        <v>91</v>
      </c>
      <c r="G2" s="246"/>
      <c r="H2" s="246" t="s">
        <v>92</v>
      </c>
      <c r="I2" s="247" t="s">
        <v>93</v>
      </c>
      <c r="J2" s="247" t="s">
        <v>94</v>
      </c>
      <c r="K2" s="247" t="s">
        <v>3</v>
      </c>
      <c r="L2" s="247" t="s">
        <v>17</v>
      </c>
      <c r="M2" s="247" t="s">
        <v>95</v>
      </c>
      <c r="N2" s="247" t="s">
        <v>18</v>
      </c>
      <c r="O2" s="247" t="s">
        <v>19</v>
      </c>
      <c r="P2" s="247" t="s">
        <v>1</v>
      </c>
      <c r="Q2" s="247" t="s">
        <v>96</v>
      </c>
      <c r="R2" s="247" t="s">
        <v>97</v>
      </c>
      <c r="S2" s="247" t="s">
        <v>98</v>
      </c>
      <c r="T2" s="247" t="s">
        <v>99</v>
      </c>
      <c r="U2" s="247" t="s">
        <v>64</v>
      </c>
      <c r="V2" s="247" t="s">
        <v>65</v>
      </c>
      <c r="W2" s="247" t="s">
        <v>99</v>
      </c>
      <c r="X2" s="247" t="s">
        <v>100</v>
      </c>
      <c r="Y2" s="247" t="s">
        <v>101</v>
      </c>
    </row>
    <row r="3">
      <c r="A3" s="248">
        <v>1.0</v>
      </c>
      <c r="B3" s="249" t="str">
        <f>IFERROR(__xludf.DUMMYFUNCTION("IMPORTRANGE(""1GLSIxshjEeCEA-sFxw4uoRZon2HjwacaFfa1GUHP-Z8/"",""エントリー管理シート!B3:B102"")"),"")</f>
        <v/>
      </c>
      <c r="C3" s="249" t="str">
        <f>IFERROR(__xludf.DUMMYFUNCTION("IMPORTRANGE(""1GLSIxshjEeCEA-sFxw4uoRZon2HjwacaFfa1GUHP-Z8/"",""エントリー管理シート!C3:C102"")"),"")</f>
        <v/>
      </c>
      <c r="D3" s="249" t="str">
        <f>IFERROR(__xludf.DUMMYFUNCTION("IMPORTRANGE(""1GLSIxshjEeCEA-sFxw4uoRZon2HjwacaFfa1GUHP-Z8/"",""エントリー管理シート!D3:D102"")"),"-")</f>
        <v>-</v>
      </c>
      <c r="E3" s="250" t="str">
        <f>IFERROR(__xludf.DUMMYFUNCTION("IMPORTRANGE(""1GLSIxshjEeCEA-sFxw4uoRZon2HjwacaFfa1GUHP-Z8/"",""エントリー管理シート!E3:E102"")"),"おかー")</f>
        <v>おかー</v>
      </c>
      <c r="F3" s="251" t="str">
        <f>IFERROR(__xludf.DUMMYFUNCTION("IMPORTRANGE(""1GLSIxshjEeCEA-sFxw4uoRZon2HjwacaFfa1GUHP-Z8/"",""エントリー管理シート!F3:F102"")"),"キャンセル")</f>
        <v>キャンセル</v>
      </c>
      <c r="G3" s="251" t="str">
        <f>IFERROR(__xludf.DUMMYFUNCTION("IMPORTRANGE(""1GLSIxshjEeCEA-sFxw4uoRZon2HjwacaFfa1GUHP-Z8/"",""エントリー管理シート!G3:G102"")"),"")</f>
        <v/>
      </c>
      <c r="H3" s="252" t="str">
        <f>IFERROR(__xludf.DUMMYFUNCTION("IMPORTRANGE(""1GLSIxshjEeCEA-sFxw4uoRZon2HjwacaFfa1GUHP-Z8/"",""エントリー管理シート!H3:H102"")"),"#N/A")</f>
        <v>#N/A</v>
      </c>
      <c r="I3" s="253">
        <f>IFERROR(__xludf.DUMMYFUNCTION("IMPORTRANGE(""1GLSIxshjEeCEA-sFxw4uoRZon2HjwacaFfa1GUHP-Z8/"",""エントリー管理シート!I3:I102"")"),45696.78958729167)</f>
        <v>45696.78959</v>
      </c>
      <c r="J3" s="253" t="str">
        <f>IFERROR(__xludf.DUMMYFUNCTION("IMPORTRANGE(""1GLSIxshjEeCEA-sFxw4uoRZon2HjwacaFfa1GUHP-Z8/"",""エントリー管理シート!J3:J102"")"),"はい")</f>
        <v>はい</v>
      </c>
      <c r="K3" s="253" t="str">
        <f>IFERROR(__xludf.DUMMYFUNCTION("IMPORTRANGE(""1GLSIxshjEeCEA-sFxw4uoRZon2HjwacaFfa1GUHP-Z8/"",""エントリー管理シート!K3:K102"")"),"岡部正寛")</f>
        <v>岡部正寛</v>
      </c>
      <c r="L3" s="253" t="str">
        <f>IFERROR(__xludf.DUMMYFUNCTION("IMPORTRANGE(""1GLSIxshjEeCEA-sFxw4uoRZon2HjwacaFfa1GUHP-Z8/"",""エントリー管理シート!L3:L102"")"),"おかー")</f>
        <v>おかー</v>
      </c>
      <c r="M3" s="253" t="str">
        <f>IFERROR(__xludf.DUMMYFUNCTION("IMPORTRANGE(""1GLSIxshjEeCEA-sFxw4uoRZon2HjwacaFfa1GUHP-Z8/"",""エントリー管理シート!M3:M102"")"),"選手名")</f>
        <v>選手名</v>
      </c>
      <c r="N3" s="253" t="str">
        <f>IFERROR(__xludf.DUMMYFUNCTION("IMPORTRANGE(""1GLSIxshjEeCEA-sFxw4uoRZon2HjwacaFfa1GUHP-Z8/"",""エントリー管理シート!N3:N102"")"),"YZ250X")</f>
        <v>YZ250X</v>
      </c>
      <c r="O3" s="253" t="str">
        <f>IFERROR(__xludf.DUMMYFUNCTION("IMPORTRANGE(""1GLSIxshjEeCEA-sFxw4uoRZon2HjwacaFfa1GUHP-Z8/"",""エントリー管理シート!O3:O102"")"),"青")</f>
        <v>青</v>
      </c>
      <c r="P3" s="253" t="str">
        <f>IFERROR(__xludf.DUMMYFUNCTION("IMPORTRANGE(""1GLSIxshjEeCEA-sFxw4uoRZon2HjwacaFfa1GUHP-Z8/"",""エントリー管理シート!P3:P102"")"),"C1級")</f>
        <v>C1級</v>
      </c>
      <c r="Q3" s="254" t="str">
        <f>IFERROR(__xludf.DUMMYFUNCTION("IMPORTRANGE(""1GLSIxshjEeCEA-sFxw4uoRZon2HjwacaFfa1GUHP-Z8/"",""エントリー管理シート!Q3:Q102"")"),"")</f>
        <v/>
      </c>
      <c r="R3" s="254" t="str">
        <f>IFERROR(__xludf.DUMMYFUNCTION("IMPORTRANGE(""1GLSIxshjEeCEA-sFxw4uoRZon2HjwacaFfa1GUHP-Z8/"",""エントリー管理シート!R3:R102"")"),"")</f>
        <v/>
      </c>
      <c r="S3" s="254" t="str">
        <f>IFERROR(__xludf.DUMMYFUNCTION("IMPORTRANGE(""1GLSIxshjEeCEA-sFxw4uoRZon2HjwacaFfa1GUHP-Z8/"",""エントリー管理シート!S3:S102"")"),"")</f>
        <v/>
      </c>
      <c r="T3" s="255" t="str">
        <f>IFERROR(__xludf.DUMMYFUNCTION("IMPORTRANGE(""1GLSIxshjEeCEA-sFxw4uoRZon2HjwacaFfa1GUHP-Z8/"",""エントリー管理シート!T3:T102"")"),"")</f>
        <v/>
      </c>
      <c r="U3" s="256" t="str">
        <f>IFERROR(__xludf.DUMMYFUNCTION("IMPORTRANGE(""1GLSIxshjEeCEA-sFxw4uoRZon2HjwacaFfa1GUHP-Z8/"",""エントリー管理シート!U3:U102"")"),"いいえ")</f>
        <v>いいえ</v>
      </c>
      <c r="V3" s="253" t="str">
        <f>IFERROR(__xludf.DUMMYFUNCTION("IMPORTRANGE(""1GLSIxshjEeCEA-sFxw4uoRZon2HjwacaFfa1GUHP-Z8/"",""エントリー管理シート!V3:V102"")"),"いいえ")</f>
        <v>いいえ</v>
      </c>
      <c r="W3" s="254" t="str">
        <f>IFERROR(__xludf.DUMMYFUNCTION("IMPORTRANGE(""1GLSIxshjEeCEA-sFxw4uoRZon2HjwacaFfa1GUHP-Z8/"",""エントリー管理シート!W3:W102"")"),"")</f>
        <v/>
      </c>
      <c r="X3" s="257" t="str">
        <f>IFERROR(__xludf.DUMMYFUNCTION("IMPORTRANGE(""1GLSIxshjEeCEA-sFxw4uoRZon2HjwacaFfa1GUHP-Z8/"",""エントリー管理シート!X3:X102"")"),"第1回「にじチャレ！」エントリーありがとうございます！大変恐縮ですが総合優勝目指して頑張ります！")</f>
        <v>第1回「にじチャレ！」エントリーありがとうございます！大変恐縮ですが総合優勝目指して頑張ります！</v>
      </c>
    </row>
    <row r="4">
      <c r="A4" s="248"/>
      <c r="B4" s="249">
        <f>IFERROR(__xludf.DUMMYFUNCTION("""COMPUTED_VALUE"""),1.0)</f>
        <v>1</v>
      </c>
      <c r="C4" s="249" t="str">
        <f>IFERROR(__xludf.DUMMYFUNCTION("""COMPUTED_VALUE"""),"D")</f>
        <v>D</v>
      </c>
      <c r="D4" s="249" t="str">
        <f>IFERROR(__xludf.DUMMYFUNCTION("""COMPUTED_VALUE"""),"-")</f>
        <v>-</v>
      </c>
      <c r="E4" s="250" t="str">
        <f>IFERROR(__xludf.DUMMYFUNCTION("""COMPUTED_VALUE"""),"すちんぐれ")</f>
        <v>すちんぐれ</v>
      </c>
      <c r="F4" s="251" t="str">
        <f>IFERROR(__xludf.DUMMYFUNCTION("""COMPUTED_VALUE"""),"参加")</f>
        <v>参加</v>
      </c>
      <c r="G4" s="251" t="str">
        <f>IFERROR(__xludf.DUMMYFUNCTION("""COMPUTED_VALUE"""),"朝：設営責任者
後半：MC＆タイム読み上げ(進行責任者)")</f>
        <v>朝：設営責任者
後半：MC＆タイム読み上げ(進行責任者)</v>
      </c>
      <c r="H4" s="251">
        <f>IFERROR(__xludf.DUMMYFUNCTION("""COMPUTED_VALUE"""),1.0)</f>
        <v>1</v>
      </c>
      <c r="I4" s="258">
        <f>IFERROR(__xludf.DUMMYFUNCTION("""COMPUTED_VALUE"""),45696.790973090276)</f>
        <v>45696.79097</v>
      </c>
      <c r="J4" s="259" t="str">
        <f>IFERROR(__xludf.DUMMYFUNCTION("""COMPUTED_VALUE"""),"はい")</f>
        <v>はい</v>
      </c>
      <c r="K4" s="259" t="str">
        <f>IFERROR(__xludf.DUMMYFUNCTION("""COMPUTED_VALUE"""),"今野 高博")</f>
        <v>今野 高博</v>
      </c>
      <c r="L4" s="259" t="str">
        <f>IFERROR(__xludf.DUMMYFUNCTION("""COMPUTED_VALUE"""),"すちんぐれ")</f>
        <v>すちんぐれ</v>
      </c>
      <c r="M4" s="259" t="str">
        <f>IFERROR(__xludf.DUMMYFUNCTION("""COMPUTED_VALUE"""),"選手名")</f>
        <v>選手名</v>
      </c>
      <c r="N4" s="259" t="str">
        <f>IFERROR(__xludf.DUMMYFUNCTION("""COMPUTED_VALUE"""),"VTR")</f>
        <v>VTR</v>
      </c>
      <c r="O4" s="259" t="str">
        <f>IFERROR(__xludf.DUMMYFUNCTION("""COMPUTED_VALUE"""),"黒")</f>
        <v>黒</v>
      </c>
      <c r="P4" s="260" t="str">
        <f>IFERROR(__xludf.DUMMYFUNCTION("""COMPUTED_VALUE"""),"D級")</f>
        <v>D級</v>
      </c>
      <c r="Q4" s="261"/>
      <c r="R4" s="261"/>
      <c r="S4" s="261"/>
      <c r="T4" s="261"/>
      <c r="U4" s="256" t="str">
        <f>IFERROR(__xludf.DUMMYFUNCTION("""COMPUTED_VALUE"""),"いいえ")</f>
        <v>いいえ</v>
      </c>
      <c r="V4" s="256" t="str">
        <f>IFERROR(__xludf.DUMMYFUNCTION("""COMPUTED_VALUE"""),"いいえ")</f>
        <v>いいえ</v>
      </c>
      <c r="W4" s="261"/>
      <c r="X4" s="259" t="str">
        <f>IFERROR(__xludf.DUMMYFUNCTION("""COMPUTED_VALUE"""),"大会の準備して、エントリーもして、果たしてまともにゴールまで走れるのでしょうか！？")</f>
        <v>大会の準備して、エントリーもして、果たしてまともにゴールまで走れるのでしょうか！？</v>
      </c>
      <c r="Y4" s="262"/>
    </row>
    <row r="5">
      <c r="A5" s="248"/>
      <c r="B5" s="249">
        <f>IFERROR(__xludf.DUMMYFUNCTION("""COMPUTED_VALUE"""),46.0)</f>
        <v>46</v>
      </c>
      <c r="C5" s="249" t="str">
        <f>IFERROR(__xludf.DUMMYFUNCTION("""COMPUTED_VALUE"""),"C1")</f>
        <v>C1</v>
      </c>
      <c r="D5" s="249" t="str">
        <f>IFERROR(__xludf.DUMMYFUNCTION("""COMPUTED_VALUE"""),"-")</f>
        <v>-</v>
      </c>
      <c r="E5" s="250" t="str">
        <f>IFERROR(__xludf.DUMMYFUNCTION("""COMPUTED_VALUE"""),"しょこら。")</f>
        <v>しょこら。</v>
      </c>
      <c r="F5" s="251" t="str">
        <f>IFERROR(__xludf.DUMMYFUNCTION("""COMPUTED_VALUE"""),"参加")</f>
        <v>参加</v>
      </c>
      <c r="G5" s="251" t="str">
        <f>IFERROR(__xludf.DUMMYFUNCTION("""COMPUTED_VALUE"""),"朝：トランポ誘導（ゲート担当）
前半：進行責任者")</f>
        <v>朝：トランポ誘導（ゲート担当）
前半：進行責任者</v>
      </c>
      <c r="H5" s="251">
        <f>IFERROR(__xludf.DUMMYFUNCTION("""COMPUTED_VALUE"""),45.0)</f>
        <v>45</v>
      </c>
      <c r="I5" s="258">
        <f>IFERROR(__xludf.DUMMYFUNCTION("""COMPUTED_VALUE"""),45696.79910178241)</f>
        <v>45696.7991</v>
      </c>
      <c r="J5" s="259" t="str">
        <f>IFERROR(__xludf.DUMMYFUNCTION("""COMPUTED_VALUE"""),"はい")</f>
        <v>はい</v>
      </c>
      <c r="K5" s="259" t="str">
        <f>IFERROR(__xludf.DUMMYFUNCTION("""COMPUTED_VALUE"""),"伊藤悠志")</f>
        <v>伊藤悠志</v>
      </c>
      <c r="L5" s="259" t="str">
        <f>IFERROR(__xludf.DUMMYFUNCTION("""COMPUTED_VALUE"""),"しょこら。")</f>
        <v>しょこら。</v>
      </c>
      <c r="M5" s="259" t="str">
        <f>IFERROR(__xludf.DUMMYFUNCTION("""COMPUTED_VALUE"""),"選手名")</f>
        <v>選手名</v>
      </c>
      <c r="N5" s="259" t="str">
        <f>IFERROR(__xludf.DUMMYFUNCTION("""COMPUTED_VALUE"""),"GSX-R600")</f>
        <v>GSX-R600</v>
      </c>
      <c r="O5" s="259" t="str">
        <f>IFERROR(__xludf.DUMMYFUNCTION("""COMPUTED_VALUE"""),"青/白")</f>
        <v>青/白</v>
      </c>
      <c r="P5" s="260" t="str">
        <f>IFERROR(__xludf.DUMMYFUNCTION("""COMPUTED_VALUE"""),"C1級")</f>
        <v>C1級</v>
      </c>
      <c r="Q5" s="261"/>
      <c r="R5" s="261"/>
      <c r="S5" s="261"/>
      <c r="T5" s="261"/>
      <c r="U5" s="256" t="str">
        <f>IFERROR(__xludf.DUMMYFUNCTION("""COMPUTED_VALUE"""),"いいえ")</f>
        <v>いいえ</v>
      </c>
      <c r="V5" s="256" t="str">
        <f>IFERROR(__xludf.DUMMYFUNCTION("""COMPUTED_VALUE"""),"いいえ")</f>
        <v>いいえ</v>
      </c>
      <c r="W5" s="261"/>
      <c r="X5" s="261"/>
      <c r="Y5" s="262"/>
    </row>
    <row r="6">
      <c r="A6" s="248"/>
      <c r="B6" s="249">
        <f>IFERROR(__xludf.DUMMYFUNCTION("""COMPUTED_VALUE"""),31.0)</f>
        <v>31</v>
      </c>
      <c r="C6" s="249" t="str">
        <f>IFERROR(__xludf.DUMMYFUNCTION("""COMPUTED_VALUE"""),"C2")</f>
        <v>C2</v>
      </c>
      <c r="D6" s="249" t="str">
        <f>IFERROR(__xludf.DUMMYFUNCTION("""COMPUTED_VALUE"""),"-")</f>
        <v>-</v>
      </c>
      <c r="E6" s="250" t="str">
        <f>IFERROR(__xludf.DUMMYFUNCTION("""COMPUTED_VALUE"""),"織田憲男")</f>
        <v>織田憲男</v>
      </c>
      <c r="F6" s="251" t="str">
        <f>IFERROR(__xludf.DUMMYFUNCTION("""COMPUTED_VALUE"""),"参加")</f>
        <v>参加</v>
      </c>
      <c r="G6" s="251" t="str">
        <f>IFERROR(__xludf.DUMMYFUNCTION("""COMPUTED_VALUE"""),"前半：ウォームアップ誘導")</f>
        <v>前半：ウォームアップ誘導</v>
      </c>
      <c r="H6" s="251">
        <f>IFERROR(__xludf.DUMMYFUNCTION("""COMPUTED_VALUE"""),30.0)</f>
        <v>30</v>
      </c>
      <c r="I6" s="258">
        <f>IFERROR(__xludf.DUMMYFUNCTION("""COMPUTED_VALUE"""),45697.38400636574)</f>
        <v>45697.38401</v>
      </c>
      <c r="J6" s="259" t="str">
        <f>IFERROR(__xludf.DUMMYFUNCTION("""COMPUTED_VALUE"""),"はい")</f>
        <v>はい</v>
      </c>
      <c r="K6" s="259" t="str">
        <f>IFERROR(__xludf.DUMMYFUNCTION("""COMPUTED_VALUE"""),"織田憲男")</f>
        <v>織田憲男</v>
      </c>
      <c r="L6" s="259" t="str">
        <f>IFERROR(__xludf.DUMMYFUNCTION("""COMPUTED_VALUE"""),"のりだー")</f>
        <v>のりだー</v>
      </c>
      <c r="M6" s="259" t="str">
        <f>IFERROR(__xludf.DUMMYFUNCTION("""COMPUTED_VALUE"""),"本名")</f>
        <v>本名</v>
      </c>
      <c r="N6" s="259" t="str">
        <f>IFERROR(__xludf.DUMMYFUNCTION("""COMPUTED_VALUE"""),"MT-03")</f>
        <v>MT-03</v>
      </c>
      <c r="O6" s="259" t="str">
        <f>IFERROR(__xludf.DUMMYFUNCTION("""COMPUTED_VALUE"""),"黒")</f>
        <v>黒</v>
      </c>
      <c r="P6" s="259" t="str">
        <f>IFERROR(__xludf.DUMMYFUNCTION("""COMPUTED_VALUE"""),"C2級")</f>
        <v>C2級</v>
      </c>
      <c r="Q6" s="261"/>
      <c r="R6" s="261"/>
      <c r="S6" s="261"/>
      <c r="T6" s="261"/>
      <c r="U6" s="256" t="str">
        <f>IFERROR(__xludf.DUMMYFUNCTION("""COMPUTED_VALUE"""),"いいえ")</f>
        <v>いいえ</v>
      </c>
      <c r="V6" s="256" t="str">
        <f>IFERROR(__xludf.DUMMYFUNCTION("""COMPUTED_VALUE"""),"いいえ")</f>
        <v>いいえ</v>
      </c>
      <c r="W6" s="261"/>
      <c r="X6" s="259" t="str">
        <f>IFERROR(__xludf.DUMMYFUNCTION("""COMPUTED_VALUE"""),"開催おめでとうございます。成功を確信していまーす。")</f>
        <v>開催おめでとうございます。成功を確信していまーす。</v>
      </c>
      <c r="Y6" s="262"/>
    </row>
    <row r="7">
      <c r="A7" s="248"/>
      <c r="B7" s="249">
        <f>IFERROR(__xludf.DUMMYFUNCTION("""COMPUTED_VALUE"""),11.0)</f>
        <v>11</v>
      </c>
      <c r="C7" s="249" t="str">
        <f>IFERROR(__xludf.DUMMYFUNCTION("""COMPUTED_VALUE"""),"D")</f>
        <v>D</v>
      </c>
      <c r="D7" s="249" t="str">
        <f>IFERROR(__xludf.DUMMYFUNCTION("""COMPUTED_VALUE"""),"セパハン")</f>
        <v>セパハン</v>
      </c>
      <c r="E7" s="250" t="str">
        <f>IFERROR(__xludf.DUMMYFUNCTION("""COMPUTED_VALUE"""),"ニダボちゃん")</f>
        <v>ニダボちゃん</v>
      </c>
      <c r="F7" s="251" t="str">
        <f>IFERROR(__xludf.DUMMYFUNCTION("""COMPUTED_VALUE"""),"参加")</f>
        <v>参加</v>
      </c>
      <c r="G7" s="251" t="str">
        <f>IFERROR(__xludf.DUMMYFUNCTION("""COMPUTED_VALUE"""),"-")</f>
        <v>-</v>
      </c>
      <c r="H7" s="251">
        <f>IFERROR(__xludf.DUMMYFUNCTION("""COMPUTED_VALUE"""),11.0)</f>
        <v>11</v>
      </c>
      <c r="I7" s="258">
        <f>IFERROR(__xludf.DUMMYFUNCTION("""COMPUTED_VALUE"""),45697.38724329861)</f>
        <v>45697.38724</v>
      </c>
      <c r="J7" s="259" t="str">
        <f>IFERROR(__xludf.DUMMYFUNCTION("""COMPUTED_VALUE"""),"はい")</f>
        <v>はい</v>
      </c>
      <c r="K7" s="259" t="str">
        <f>IFERROR(__xludf.DUMMYFUNCTION("""COMPUTED_VALUE"""),"下島優")</f>
        <v>下島優</v>
      </c>
      <c r="L7" s="259" t="str">
        <f>IFERROR(__xludf.DUMMYFUNCTION("""COMPUTED_VALUE"""),"ニダボちゃん")</f>
        <v>ニダボちゃん</v>
      </c>
      <c r="M7" s="259" t="str">
        <f>IFERROR(__xludf.DUMMYFUNCTION("""COMPUTED_VALUE"""),"選手名")</f>
        <v>選手名</v>
      </c>
      <c r="N7" s="259" t="str">
        <f>IFERROR(__xludf.DUMMYFUNCTION("""COMPUTED_VALUE"""),"CBR250RR")</f>
        <v>CBR250RR</v>
      </c>
      <c r="O7" s="259" t="str">
        <f>IFERROR(__xludf.DUMMYFUNCTION("""COMPUTED_VALUE"""),"赤")</f>
        <v>赤</v>
      </c>
      <c r="P7" s="260" t="str">
        <f>IFERROR(__xludf.DUMMYFUNCTION("""COMPUTED_VALUE"""),"D級")</f>
        <v>D級</v>
      </c>
      <c r="Q7" s="261"/>
      <c r="R7" s="261"/>
      <c r="S7" s="261"/>
      <c r="T7" s="261"/>
      <c r="U7" s="256" t="str">
        <f>IFERROR(__xludf.DUMMYFUNCTION("""COMPUTED_VALUE"""),"はい")</f>
        <v>はい</v>
      </c>
      <c r="V7" s="256" t="str">
        <f>IFERROR(__xludf.DUMMYFUNCTION("""COMPUTED_VALUE"""),"いいえ")</f>
        <v>いいえ</v>
      </c>
      <c r="W7" s="261"/>
      <c r="X7" s="259" t="str">
        <f>IFERROR(__xludf.DUMMYFUNCTION("""COMPUTED_VALUE"""),"開催ありがとうございます。セパハンクラスの賑やかしになればと思い参加させていただきました。張り切って走りますのでよろしくお願いします！\(°∀°)/")</f>
        <v>開催ありがとうございます。セパハンクラスの賑やかしになればと思い参加させていただきました。張り切って走りますのでよろしくお願いします！\(°∀°)/</v>
      </c>
      <c r="Y7" s="262"/>
    </row>
    <row r="8">
      <c r="A8" s="248"/>
      <c r="B8" s="249">
        <f>IFERROR(__xludf.DUMMYFUNCTION("""COMPUTED_VALUE"""),50.0)</f>
        <v>50</v>
      </c>
      <c r="C8" s="249" t="str">
        <f>IFERROR(__xludf.DUMMYFUNCTION("""COMPUTED_VALUE"""),"B")</f>
        <v>B</v>
      </c>
      <c r="D8" s="249" t="str">
        <f>IFERROR(__xludf.DUMMYFUNCTION("""COMPUTED_VALUE"""),"-")</f>
        <v>-</v>
      </c>
      <c r="E8" s="250" t="str">
        <f>IFERROR(__xludf.DUMMYFUNCTION("""COMPUTED_VALUE"""),"どmの")</f>
        <v>どmの</v>
      </c>
      <c r="F8" s="251" t="str">
        <f>IFERROR(__xludf.DUMMYFUNCTION("""COMPUTED_VALUE"""),"参加")</f>
        <v>参加</v>
      </c>
      <c r="G8" s="251" t="str">
        <f>IFERROR(__xludf.DUMMYFUNCTION("""COMPUTED_VALUE"""),"前半：出走前8の字誘導")</f>
        <v>前半：出走前8の字誘導</v>
      </c>
      <c r="H8" s="251">
        <f>IFERROR(__xludf.DUMMYFUNCTION("""COMPUTED_VALUE"""),49.0)</f>
        <v>49</v>
      </c>
      <c r="I8" s="258">
        <f>IFERROR(__xludf.DUMMYFUNCTION("""COMPUTED_VALUE"""),45697.40650787037)</f>
        <v>45697.40651</v>
      </c>
      <c r="J8" s="259" t="str">
        <f>IFERROR(__xludf.DUMMYFUNCTION("""COMPUTED_VALUE"""),"はい")</f>
        <v>はい</v>
      </c>
      <c r="K8" s="259" t="str">
        <f>IFERROR(__xludf.DUMMYFUNCTION("""COMPUTED_VALUE"""),"村野秀次")</f>
        <v>村野秀次</v>
      </c>
      <c r="L8" s="259" t="str">
        <f>IFERROR(__xludf.DUMMYFUNCTION("""COMPUTED_VALUE"""),"どmの")</f>
        <v>どmの</v>
      </c>
      <c r="M8" s="259" t="str">
        <f>IFERROR(__xludf.DUMMYFUNCTION("""COMPUTED_VALUE"""),"選手名")</f>
        <v>選手名</v>
      </c>
      <c r="N8" s="259" t="str">
        <f>IFERROR(__xludf.DUMMYFUNCTION("""COMPUTED_VALUE"""),"CBR600RR")</f>
        <v>CBR600RR</v>
      </c>
      <c r="O8" s="259" t="str">
        <f>IFERROR(__xludf.DUMMYFUNCTION("""COMPUTED_VALUE"""),"レッドブル")</f>
        <v>レッドブル</v>
      </c>
      <c r="P8" s="260" t="str">
        <f>IFERROR(__xludf.DUMMYFUNCTION("""COMPUTED_VALUE"""),"B級")</f>
        <v>B級</v>
      </c>
      <c r="Q8" s="261"/>
      <c r="R8" s="261"/>
      <c r="S8" s="261"/>
      <c r="T8" s="261"/>
      <c r="U8" s="256" t="str">
        <f>IFERROR(__xludf.DUMMYFUNCTION("""COMPUTED_VALUE"""),"いいえ")</f>
        <v>いいえ</v>
      </c>
      <c r="V8" s="256" t="str">
        <f>IFERROR(__xludf.DUMMYFUNCTION("""COMPUTED_VALUE"""),"いいえ")</f>
        <v>いいえ</v>
      </c>
      <c r="W8" s="261"/>
      <c r="X8" s="259" t="str">
        <f>IFERROR(__xludf.DUMMYFUNCTION("""COMPUTED_VALUE"""),"にじっちゃいに来ました！
優勝🏆したい！！よろしくお願いします！")</f>
        <v>にじっちゃいに来ました！
優勝🏆したい！！よろしくお願いします！</v>
      </c>
      <c r="Y8" s="262"/>
    </row>
    <row r="9">
      <c r="A9" s="248"/>
      <c r="B9" s="249">
        <f>IFERROR(__xludf.DUMMYFUNCTION("""COMPUTED_VALUE"""),15.0)</f>
        <v>15</v>
      </c>
      <c r="C9" s="249" t="str">
        <f>IFERROR(__xludf.DUMMYFUNCTION("""COMPUTED_VALUE"""),"R")</f>
        <v>R</v>
      </c>
      <c r="D9" s="249" t="str">
        <f>IFERROR(__xludf.DUMMYFUNCTION("""COMPUTED_VALUE"""),"-")</f>
        <v>-</v>
      </c>
      <c r="E9" s="250" t="str">
        <f>IFERROR(__xludf.DUMMYFUNCTION("""COMPUTED_VALUE"""),"nagai7111")</f>
        <v>nagai7111</v>
      </c>
      <c r="F9" s="251" t="str">
        <f>IFERROR(__xludf.DUMMYFUNCTION("""COMPUTED_VALUE"""),"参加")</f>
        <v>参加</v>
      </c>
      <c r="G9" s="251" t="str">
        <f>IFERROR(__xludf.DUMMYFUNCTION("""COMPUTED_VALUE"""),"朝：コース設営")</f>
        <v>朝：コース設営</v>
      </c>
      <c r="H9" s="251">
        <f>IFERROR(__xludf.DUMMYFUNCTION("""COMPUTED_VALUE"""),15.0)</f>
        <v>15</v>
      </c>
      <c r="I9" s="258">
        <f>IFERROR(__xludf.DUMMYFUNCTION("""COMPUTED_VALUE"""),45697.41948586806)</f>
        <v>45697.41949</v>
      </c>
      <c r="J9" s="259" t="str">
        <f>IFERROR(__xludf.DUMMYFUNCTION("""COMPUTED_VALUE"""),"はい")</f>
        <v>はい</v>
      </c>
      <c r="K9" s="259" t="str">
        <f>IFERROR(__xludf.DUMMYFUNCTION("""COMPUTED_VALUE"""),"長井健一")</f>
        <v>長井健一</v>
      </c>
      <c r="L9" s="259" t="str">
        <f>IFERROR(__xludf.DUMMYFUNCTION("""COMPUTED_VALUE"""),"nagai7111")</f>
        <v>nagai7111</v>
      </c>
      <c r="M9" s="260" t="str">
        <f>IFERROR(__xludf.DUMMYFUNCTION("""COMPUTED_VALUE"""),"選手名")</f>
        <v>選手名</v>
      </c>
      <c r="N9" s="259" t="str">
        <f>IFERROR(__xludf.DUMMYFUNCTION("""COMPUTED_VALUE"""),"VTR")</f>
        <v>VTR</v>
      </c>
      <c r="O9" s="259" t="str">
        <f>IFERROR(__xludf.DUMMYFUNCTION("""COMPUTED_VALUE"""),"青")</f>
        <v>青</v>
      </c>
      <c r="P9" s="259" t="str">
        <f>IFERROR(__xludf.DUMMYFUNCTION("""COMPUTED_VALUE"""),"R級")</f>
        <v>R級</v>
      </c>
      <c r="Q9" s="261"/>
      <c r="R9" s="261"/>
      <c r="S9" s="261"/>
      <c r="T9" s="261"/>
      <c r="U9" s="256" t="str">
        <f>IFERROR(__xludf.DUMMYFUNCTION("""COMPUTED_VALUE"""),"いいえ")</f>
        <v>いいえ</v>
      </c>
      <c r="V9" s="256" t="str">
        <f>IFERROR(__xludf.DUMMYFUNCTION("""COMPUTED_VALUE"""),"いいえ")</f>
        <v>いいえ</v>
      </c>
      <c r="W9" s="261"/>
      <c r="X9" s="259" t="str">
        <f>IFERROR(__xludf.DUMMYFUNCTION("""COMPUTED_VALUE"""),"目指せD級！誰よりも楽しみます！")</f>
        <v>目指せD級！誰よりも楽しみます！</v>
      </c>
      <c r="Y9" s="262"/>
    </row>
    <row r="10">
      <c r="A10" s="248"/>
      <c r="B10" s="249">
        <f>IFERROR(__xludf.DUMMYFUNCTION("""COMPUTED_VALUE"""),14.0)</f>
        <v>14</v>
      </c>
      <c r="C10" s="249" t="str">
        <f>IFERROR(__xludf.DUMMYFUNCTION("""COMPUTED_VALUE"""),"R")</f>
        <v>R</v>
      </c>
      <c r="D10" s="249" t="str">
        <f>IFERROR(__xludf.DUMMYFUNCTION("""COMPUTED_VALUE"""),"ミニ")</f>
        <v>ミニ</v>
      </c>
      <c r="E10" s="250" t="str">
        <f>IFERROR(__xludf.DUMMYFUNCTION("""COMPUTED_VALUE"""),"にんじゃ")</f>
        <v>にんじゃ</v>
      </c>
      <c r="F10" s="251" t="str">
        <f>IFERROR(__xludf.DUMMYFUNCTION("""COMPUTED_VALUE"""),"参加")</f>
        <v>参加</v>
      </c>
      <c r="G10" s="251" t="str">
        <f>IFERROR(__xludf.DUMMYFUNCTION("""COMPUTED_VALUE"""),"朝：コース設営")</f>
        <v>朝：コース設営</v>
      </c>
      <c r="H10" s="251">
        <f>IFERROR(__xludf.DUMMYFUNCTION("""COMPUTED_VALUE"""),14.0)</f>
        <v>14</v>
      </c>
      <c r="I10" s="258">
        <f>IFERROR(__xludf.DUMMYFUNCTION("""COMPUTED_VALUE"""),45697.426820196764)</f>
        <v>45697.42682</v>
      </c>
      <c r="J10" s="259" t="str">
        <f>IFERROR(__xludf.DUMMYFUNCTION("""COMPUTED_VALUE"""),"はい")</f>
        <v>はい</v>
      </c>
      <c r="K10" s="259" t="str">
        <f>IFERROR(__xludf.DUMMYFUNCTION("""COMPUTED_VALUE"""),"上田貴生")</f>
        <v>上田貴生</v>
      </c>
      <c r="L10" s="259" t="str">
        <f>IFERROR(__xludf.DUMMYFUNCTION("""COMPUTED_VALUE"""),"にんじゃ")</f>
        <v>にんじゃ</v>
      </c>
      <c r="M10" s="259" t="str">
        <f>IFERROR(__xludf.DUMMYFUNCTION("""COMPUTED_VALUE"""),"選手名")</f>
        <v>選手名</v>
      </c>
      <c r="N10" s="259" t="str">
        <f>IFERROR(__xludf.DUMMYFUNCTION("""COMPUTED_VALUE"""),"GROM")</f>
        <v>GROM</v>
      </c>
      <c r="O10" s="259" t="str">
        <f>IFERROR(__xludf.DUMMYFUNCTION("""COMPUTED_VALUE"""),"シルバー")</f>
        <v>シルバー</v>
      </c>
      <c r="P10" s="260" t="str">
        <f>IFERROR(__xludf.DUMMYFUNCTION("""COMPUTED_VALUE"""),"R級")</f>
        <v>R級</v>
      </c>
      <c r="Q10" s="261"/>
      <c r="R10" s="261"/>
      <c r="S10" s="261"/>
      <c r="T10" s="261"/>
      <c r="U10" s="256" t="str">
        <f>IFERROR(__xludf.DUMMYFUNCTION("""COMPUTED_VALUE"""),"いいえ")</f>
        <v>いいえ</v>
      </c>
      <c r="V10" s="256" t="str">
        <f>IFERROR(__xludf.DUMMYFUNCTION("""COMPUTED_VALUE"""),"はい")</f>
        <v>はい</v>
      </c>
      <c r="W10" s="261"/>
      <c r="X10" s="259" t="str">
        <f>IFERROR(__xludf.DUMMYFUNCTION("""COMPUTED_VALUE"""),"そろそろ速く走れるようになりたいです！")</f>
        <v>そろそろ速く走れるようになりたいです！</v>
      </c>
      <c r="Y10" s="262"/>
    </row>
    <row r="11">
      <c r="A11" s="248"/>
      <c r="B11" s="249">
        <f>IFERROR(__xludf.DUMMYFUNCTION("""COMPUTED_VALUE"""),27.0)</f>
        <v>27</v>
      </c>
      <c r="C11" s="249" t="str">
        <f>IFERROR(__xludf.DUMMYFUNCTION("""COMPUTED_VALUE"""),"N")</f>
        <v>N</v>
      </c>
      <c r="D11" s="249" t="str">
        <f>IFERROR(__xludf.DUMMYFUNCTION("""COMPUTED_VALUE"""),"ミニ")</f>
        <v>ミニ</v>
      </c>
      <c r="E11" s="250" t="str">
        <f>IFERROR(__xludf.DUMMYFUNCTION("""COMPUTED_VALUE"""),"はるか")</f>
        <v>はるか</v>
      </c>
      <c r="F11" s="251" t="str">
        <f>IFERROR(__xludf.DUMMYFUNCTION("""COMPUTED_VALUE"""),"参加")</f>
        <v>参加</v>
      </c>
      <c r="G11" s="251" t="str">
        <f>IFERROR(__xludf.DUMMYFUNCTION("""COMPUTED_VALUE"""),"後半：出走前8の字誘導")</f>
        <v>後半：出走前8の字誘導</v>
      </c>
      <c r="H11" s="251">
        <f>IFERROR(__xludf.DUMMYFUNCTION("""COMPUTED_VALUE"""),27.0)</f>
        <v>27</v>
      </c>
      <c r="I11" s="258">
        <f>IFERROR(__xludf.DUMMYFUNCTION("""COMPUTED_VALUE"""),45697.42746070602)</f>
        <v>45697.42746</v>
      </c>
      <c r="J11" s="259" t="str">
        <f>IFERROR(__xludf.DUMMYFUNCTION("""COMPUTED_VALUE"""),"はい")</f>
        <v>はい</v>
      </c>
      <c r="K11" s="259" t="str">
        <f>IFERROR(__xludf.DUMMYFUNCTION("""COMPUTED_VALUE"""),"村田晴風")</f>
        <v>村田晴風</v>
      </c>
      <c r="L11" s="259" t="str">
        <f>IFERROR(__xludf.DUMMYFUNCTION("""COMPUTED_VALUE"""),"はるか")</f>
        <v>はるか</v>
      </c>
      <c r="M11" s="259" t="str">
        <f>IFERROR(__xludf.DUMMYFUNCTION("""COMPUTED_VALUE"""),"選手名")</f>
        <v>選手名</v>
      </c>
      <c r="N11" s="259" t="str">
        <f>IFERROR(__xludf.DUMMYFUNCTION("""COMPUTED_VALUE"""),"GROM")</f>
        <v>GROM</v>
      </c>
      <c r="O11" s="259" t="str">
        <f>IFERROR(__xludf.DUMMYFUNCTION("""COMPUTED_VALUE"""),"黄色")</f>
        <v>黄色</v>
      </c>
      <c r="P11" s="260" t="str">
        <f>IFERROR(__xludf.DUMMYFUNCTION("""COMPUTED_VALUE"""),"N級")</f>
        <v>N級</v>
      </c>
      <c r="Q11" s="261"/>
      <c r="R11" s="261"/>
      <c r="S11" s="261"/>
      <c r="T11" s="261"/>
      <c r="U11" s="256" t="str">
        <f>IFERROR(__xludf.DUMMYFUNCTION("""COMPUTED_VALUE"""),"いいえ")</f>
        <v>いいえ</v>
      </c>
      <c r="V11" s="256" t="str">
        <f>IFERROR(__xludf.DUMMYFUNCTION("""COMPUTED_VALUE"""),"はい")</f>
        <v>はい</v>
      </c>
      <c r="W11" s="261"/>
      <c r="X11" s="259" t="str">
        <f>IFERROR(__xludf.DUMMYFUNCTION("""COMPUTED_VALUE"""),"KSR110からグロムに乗り換えました！グロム沼にどっぷり浸かっている先輩方よろしくお願いいたします！")</f>
        <v>KSR110からグロムに乗り換えました！グロム沼にどっぷり浸かっている先輩方よろしくお願いいたします！</v>
      </c>
      <c r="Y11" s="262"/>
    </row>
    <row r="12">
      <c r="A12" s="248"/>
      <c r="B12" s="249">
        <f>IFERROR(__xludf.DUMMYFUNCTION("""COMPUTED_VALUE"""),42.0)</f>
        <v>42</v>
      </c>
      <c r="C12" s="249" t="str">
        <f>IFERROR(__xludf.DUMMYFUNCTION("""COMPUTED_VALUE"""),"C1")</f>
        <v>C1</v>
      </c>
      <c r="D12" s="249" t="str">
        <f>IFERROR(__xludf.DUMMYFUNCTION("""COMPUTED_VALUE"""),"-")</f>
        <v>-</v>
      </c>
      <c r="E12" s="250" t="str">
        <f>IFERROR(__xludf.DUMMYFUNCTION("""COMPUTED_VALUE"""),"kota")</f>
        <v>kota</v>
      </c>
      <c r="F12" s="251" t="str">
        <f>IFERROR(__xludf.DUMMYFUNCTION("""COMPUTED_VALUE"""),"参加")</f>
        <v>参加</v>
      </c>
      <c r="G12" s="251" t="str">
        <f>IFERROR(__xludf.DUMMYFUNCTION("""COMPUTED_VALUE"""),"朝：トランポ誘導")</f>
        <v>朝：トランポ誘導</v>
      </c>
      <c r="H12" s="251">
        <f>IFERROR(__xludf.DUMMYFUNCTION("""COMPUTED_VALUE"""),41.0)</f>
        <v>41</v>
      </c>
      <c r="I12" s="258">
        <f>IFERROR(__xludf.DUMMYFUNCTION("""COMPUTED_VALUE"""),45697.473710694445)</f>
        <v>45697.47371</v>
      </c>
      <c r="J12" s="259" t="str">
        <f>IFERROR(__xludf.DUMMYFUNCTION("""COMPUTED_VALUE"""),"はい")</f>
        <v>はい</v>
      </c>
      <c r="K12" s="259" t="str">
        <f>IFERROR(__xludf.DUMMYFUNCTION("""COMPUTED_VALUE"""),"西出 昌寛")</f>
        <v>西出 昌寛</v>
      </c>
      <c r="L12" s="259" t="str">
        <f>IFERROR(__xludf.DUMMYFUNCTION("""COMPUTED_VALUE"""),"kota")</f>
        <v>kota</v>
      </c>
      <c r="M12" s="259" t="str">
        <f>IFERROR(__xludf.DUMMYFUNCTION("""COMPUTED_VALUE"""),"選手名")</f>
        <v>選手名</v>
      </c>
      <c r="N12" s="259" t="str">
        <f>IFERROR(__xludf.DUMMYFUNCTION("""COMPUTED_VALUE"""),"GROM")</f>
        <v>GROM</v>
      </c>
      <c r="O12" s="259" t="str">
        <f>IFERROR(__xludf.DUMMYFUNCTION("""COMPUTED_VALUE"""),"白/赤/黒")</f>
        <v>白/赤/黒</v>
      </c>
      <c r="P12" s="259" t="str">
        <f>IFERROR(__xludf.DUMMYFUNCTION("""COMPUTED_VALUE"""),"C1級")</f>
        <v>C1級</v>
      </c>
      <c r="Q12" s="261"/>
      <c r="R12" s="261"/>
      <c r="S12" s="261"/>
      <c r="T12" s="261"/>
      <c r="U12" s="256" t="str">
        <f>IFERROR(__xludf.DUMMYFUNCTION("""COMPUTED_VALUE"""),"いいえ")</f>
        <v>いいえ</v>
      </c>
      <c r="V12" s="256" t="str">
        <f>IFERROR(__xludf.DUMMYFUNCTION("""COMPUTED_VALUE"""),"いいえ")</f>
        <v>いいえ</v>
      </c>
      <c r="W12" s="261"/>
      <c r="X12" s="259" t="str">
        <f>IFERROR(__xludf.DUMMYFUNCTION("""COMPUTED_VALUE"""),"ミニクラス優勝目指して完走します！！…できるかな(￣▽￣;)？")</f>
        <v>ミニクラス優勝目指して完走します！！…できるかな(￣▽￣;)？</v>
      </c>
      <c r="Y12" s="262"/>
    </row>
    <row r="13">
      <c r="A13" s="248"/>
      <c r="B13" s="249">
        <f>IFERROR(__xludf.DUMMYFUNCTION("""COMPUTED_VALUE"""),38.0)</f>
        <v>38</v>
      </c>
      <c r="C13" s="249" t="str">
        <f>IFERROR(__xludf.DUMMYFUNCTION("""COMPUTED_VALUE"""),"C1")</f>
        <v>C1</v>
      </c>
      <c r="D13" s="249" t="str">
        <f>IFERROR(__xludf.DUMMYFUNCTION("""COMPUTED_VALUE"""),"-")</f>
        <v>-</v>
      </c>
      <c r="E13" s="250" t="str">
        <f>IFERROR(__xludf.DUMMYFUNCTION("""COMPUTED_VALUE"""),"岡さーもん")</f>
        <v>岡さーもん</v>
      </c>
      <c r="F13" s="251" t="str">
        <f>IFERROR(__xludf.DUMMYFUNCTION("""COMPUTED_VALUE"""),"参加")</f>
        <v>参加</v>
      </c>
      <c r="G13" s="251" t="str">
        <f>IFERROR(__xludf.DUMMYFUNCTION("""COMPUTED_VALUE"""),"朝：車検")</f>
        <v>朝：車検</v>
      </c>
      <c r="H13" s="251">
        <f>IFERROR(__xludf.DUMMYFUNCTION("""COMPUTED_VALUE"""),37.0)</f>
        <v>37</v>
      </c>
      <c r="I13" s="258">
        <f>IFERROR(__xludf.DUMMYFUNCTION("""COMPUTED_VALUE"""),45697.50789879629)</f>
        <v>45697.5079</v>
      </c>
      <c r="J13" s="259" t="str">
        <f>IFERROR(__xludf.DUMMYFUNCTION("""COMPUTED_VALUE"""),"はい")</f>
        <v>はい</v>
      </c>
      <c r="K13" s="259" t="str">
        <f>IFERROR(__xludf.DUMMYFUNCTION("""COMPUTED_VALUE"""),"岡洋一")</f>
        <v>岡洋一</v>
      </c>
      <c r="L13" s="259" t="str">
        <f>IFERROR(__xludf.DUMMYFUNCTION("""COMPUTED_VALUE"""),"岡さーもん")</f>
        <v>岡さーもん</v>
      </c>
      <c r="M13" s="259" t="str">
        <f>IFERROR(__xludf.DUMMYFUNCTION("""COMPUTED_VALUE"""),"選手名")</f>
        <v>選手名</v>
      </c>
      <c r="N13" s="259" t="str">
        <f>IFERROR(__xludf.DUMMYFUNCTION("""COMPUTED_VALUE"""),"CBR600RR")</f>
        <v>CBR600RR</v>
      </c>
      <c r="O13" s="259" t="str">
        <f>IFERROR(__xludf.DUMMYFUNCTION("""COMPUTED_VALUE"""),"ロスマンズ")</f>
        <v>ロスマンズ</v>
      </c>
      <c r="P13" s="260" t="str">
        <f>IFERROR(__xludf.DUMMYFUNCTION("""COMPUTED_VALUE"""),"C1級")</f>
        <v>C1級</v>
      </c>
      <c r="Q13" s="261"/>
      <c r="R13" s="261"/>
      <c r="S13" s="261"/>
      <c r="T13" s="261"/>
      <c r="U13" s="256" t="str">
        <f>IFERROR(__xludf.DUMMYFUNCTION("""COMPUTED_VALUE"""),"いいえ")</f>
        <v>いいえ</v>
      </c>
      <c r="V13" s="256" t="str">
        <f>IFERROR(__xludf.DUMMYFUNCTION("""COMPUTED_VALUE"""),"いいえ")</f>
        <v>いいえ</v>
      </c>
      <c r="W13" s="261"/>
      <c r="X13" s="259" t="str">
        <f>IFERROR(__xludf.DUMMYFUNCTION("""COMPUTED_VALUE"""),"サーキットに映えるバイクでカッコよく走ります")</f>
        <v>サーキットに映えるバイクでカッコよく走ります</v>
      </c>
      <c r="Y13" s="262"/>
    </row>
    <row r="14">
      <c r="A14" s="248"/>
      <c r="B14" s="249">
        <f>IFERROR(__xludf.DUMMYFUNCTION("""COMPUTED_VALUE"""),13.0)</f>
        <v>13</v>
      </c>
      <c r="C14" s="249" t="str">
        <f>IFERROR(__xludf.DUMMYFUNCTION("""COMPUTED_VALUE"""),"D")</f>
        <v>D</v>
      </c>
      <c r="D14" s="249" t="str">
        <f>IFERROR(__xludf.DUMMYFUNCTION("""COMPUTED_VALUE"""),"-")</f>
        <v>-</v>
      </c>
      <c r="E14" s="250" t="str">
        <f>IFERROR(__xludf.DUMMYFUNCTION("""COMPUTED_VALUE"""),"川崎幸治")</f>
        <v>川崎幸治</v>
      </c>
      <c r="F14" s="251" t="str">
        <f>IFERROR(__xludf.DUMMYFUNCTION("""COMPUTED_VALUE"""),"参加")</f>
        <v>参加</v>
      </c>
      <c r="G14" s="251" t="str">
        <f>IFERROR(__xludf.DUMMYFUNCTION("""COMPUTED_VALUE"""),"後半：マーシャル④")</f>
        <v>後半：マーシャル④</v>
      </c>
      <c r="H14" s="251">
        <f>IFERROR(__xludf.DUMMYFUNCTION("""COMPUTED_VALUE"""),13.0)</f>
        <v>13</v>
      </c>
      <c r="I14" s="258">
        <f>IFERROR(__xludf.DUMMYFUNCTION("""COMPUTED_VALUE"""),45697.51009326389)</f>
        <v>45697.51009</v>
      </c>
      <c r="J14" s="259" t="str">
        <f>IFERROR(__xludf.DUMMYFUNCTION("""COMPUTED_VALUE"""),"はい")</f>
        <v>はい</v>
      </c>
      <c r="K14" s="259" t="str">
        <f>IFERROR(__xludf.DUMMYFUNCTION("""COMPUTED_VALUE"""),"川崎幸治")</f>
        <v>川崎幸治</v>
      </c>
      <c r="L14" s="259" t="str">
        <f>IFERROR(__xludf.DUMMYFUNCTION("""COMPUTED_VALUE"""),"りばー")</f>
        <v>りばー</v>
      </c>
      <c r="M14" s="259" t="str">
        <f>IFERROR(__xludf.DUMMYFUNCTION("""COMPUTED_VALUE"""),"本名")</f>
        <v>本名</v>
      </c>
      <c r="N14" s="259" t="str">
        <f>IFERROR(__xludf.DUMMYFUNCTION("""COMPUTED_VALUE"""),"トリッカー")</f>
        <v>トリッカー</v>
      </c>
      <c r="O14" s="259" t="str">
        <f>IFERROR(__xludf.DUMMYFUNCTION("""COMPUTED_VALUE"""),"オレンジ")</f>
        <v>オレンジ</v>
      </c>
      <c r="P14" s="259" t="str">
        <f>IFERROR(__xludf.DUMMYFUNCTION("""COMPUTED_VALUE"""),"D級")</f>
        <v>D級</v>
      </c>
      <c r="Q14" s="261"/>
      <c r="R14" s="261"/>
      <c r="S14" s="261"/>
      <c r="T14" s="261"/>
      <c r="U14" s="256" t="str">
        <f>IFERROR(__xludf.DUMMYFUNCTION("""COMPUTED_VALUE"""),"いいえ")</f>
        <v>いいえ</v>
      </c>
      <c r="V14" s="256" t="str">
        <f>IFERROR(__xludf.DUMMYFUNCTION("""COMPUTED_VALUE"""),"いいえ")</f>
        <v>いいえ</v>
      </c>
      <c r="W14" s="261"/>
      <c r="X14" s="259" t="str">
        <f>IFERROR(__xludf.DUMMYFUNCTION("""COMPUTED_VALUE"""),"DMGMORIモータースポーツクラブより参加しています。
頑張って走りますので応援よろしくお願いいたします！")</f>
        <v>DMGMORIモータースポーツクラブより参加しています。
頑張って走りますので応援よろしくお願いいたします！</v>
      </c>
      <c r="Y14" s="262"/>
    </row>
    <row r="15">
      <c r="A15" s="248"/>
      <c r="B15" s="249"/>
      <c r="C15" s="249" t="str">
        <f>IFERROR(__xludf.DUMMYFUNCTION("""COMPUTED_VALUE"""),"")</f>
        <v/>
      </c>
      <c r="D15" s="249" t="str">
        <f>IFERROR(__xludf.DUMMYFUNCTION("""COMPUTED_VALUE"""),"-")</f>
        <v>-</v>
      </c>
      <c r="E15" s="250" t="str">
        <f>IFERROR(__xludf.DUMMYFUNCTION("""COMPUTED_VALUE"""),"O-MOTO")</f>
        <v>O-MOTO</v>
      </c>
      <c r="F15" s="251" t="str">
        <f>IFERROR(__xludf.DUMMYFUNCTION("""COMPUTED_VALUE"""),"キャンセル")</f>
        <v>キャンセル</v>
      </c>
      <c r="G15" s="251" t="str">
        <f>IFERROR(__xludf.DUMMYFUNCTION("""COMPUTED_VALUE"""),"-")</f>
        <v>-</v>
      </c>
      <c r="H15" s="251"/>
      <c r="I15" s="258">
        <f>IFERROR(__xludf.DUMMYFUNCTION("""COMPUTED_VALUE"""),45697.51681782407)</f>
        <v>45697.51682</v>
      </c>
      <c r="J15" s="259" t="str">
        <f>IFERROR(__xludf.DUMMYFUNCTION("""COMPUTED_VALUE"""),"はい")</f>
        <v>はい</v>
      </c>
      <c r="K15" s="259" t="str">
        <f>IFERROR(__xludf.DUMMYFUNCTION("""COMPUTED_VALUE"""),"大本 哲平")</f>
        <v>大本 哲平</v>
      </c>
      <c r="L15" s="259" t="str">
        <f>IFERROR(__xludf.DUMMYFUNCTION("""COMPUTED_VALUE"""),"O-MOTO")</f>
        <v>O-MOTO</v>
      </c>
      <c r="M15" s="259" t="str">
        <f>IFERROR(__xludf.DUMMYFUNCTION("""COMPUTED_VALUE"""),"選手名")</f>
        <v>選手名</v>
      </c>
      <c r="N15" s="259" t="str">
        <f>IFERROR(__xludf.DUMMYFUNCTION("""COMPUTED_VALUE"""),"ZX-4R")</f>
        <v>ZX-4R</v>
      </c>
      <c r="O15" s="259" t="str">
        <f>IFERROR(__xludf.DUMMYFUNCTION("""COMPUTED_VALUE"""),"青")</f>
        <v>青</v>
      </c>
      <c r="P15" s="259" t="str">
        <f>IFERROR(__xludf.DUMMYFUNCTION("""COMPUTED_VALUE"""),"D級")</f>
        <v>D級</v>
      </c>
      <c r="Q15" s="261"/>
      <c r="R15" s="261"/>
      <c r="S15" s="261"/>
      <c r="T15" s="261"/>
      <c r="U15" s="256" t="str">
        <f>IFERROR(__xludf.DUMMYFUNCTION("""COMPUTED_VALUE"""),"いいえ")</f>
        <v>いいえ</v>
      </c>
      <c r="V15" s="256" t="str">
        <f>IFERROR(__xludf.DUMMYFUNCTION("""COMPUTED_VALUE"""),"いいえ")</f>
        <v>いいえ</v>
      </c>
      <c r="W15" s="261"/>
      <c r="X15" s="259" t="str">
        <f>IFERROR(__xludf.DUMMYFUNCTION("""COMPUTED_VALUE"""),"脱エンジョイ勢！大会初戦ですが表彰台乗るつもりで全開走行します。")</f>
        <v>脱エンジョイ勢！大会初戦ですが表彰台乗るつもりで全開走行します。</v>
      </c>
      <c r="Y15" s="262"/>
    </row>
    <row r="16">
      <c r="A16" s="248"/>
      <c r="B16" s="249">
        <f>IFERROR(__xludf.DUMMYFUNCTION("""COMPUTED_VALUE"""),4.0)</f>
        <v>4</v>
      </c>
      <c r="C16" s="249" t="str">
        <f>IFERROR(__xludf.DUMMYFUNCTION("""COMPUTED_VALUE"""),"D")</f>
        <v>D</v>
      </c>
      <c r="D16" s="249" t="str">
        <f>IFERROR(__xludf.DUMMYFUNCTION("""COMPUTED_VALUE"""),"-")</f>
        <v>-</v>
      </c>
      <c r="E16" s="250" t="str">
        <f>IFERROR(__xludf.DUMMYFUNCTION("""COMPUTED_VALUE"""),"フラッキーニョ")</f>
        <v>フラッキーニョ</v>
      </c>
      <c r="F16" s="263" t="str">
        <f>IFERROR(__xludf.DUMMYFUNCTION("""COMPUTED_VALUE"""),"参加")</f>
        <v>参加</v>
      </c>
      <c r="G16" s="263" t="str">
        <f>IFERROR(__xludf.DUMMYFUNCTION("""COMPUTED_VALUE"""),"後半：スタート位置担当")</f>
        <v>後半：スタート位置担当</v>
      </c>
      <c r="H16" s="263">
        <f>IFERROR(__xludf.DUMMYFUNCTION("""COMPUTED_VALUE"""),4.0)</f>
        <v>4</v>
      </c>
      <c r="I16" s="258">
        <f>IFERROR(__xludf.DUMMYFUNCTION("""COMPUTED_VALUE"""),45697.52058469907)</f>
        <v>45697.52058</v>
      </c>
      <c r="J16" s="259" t="str">
        <f>IFERROR(__xludf.DUMMYFUNCTION("""COMPUTED_VALUE"""),"はい")</f>
        <v>はい</v>
      </c>
      <c r="K16" s="259" t="str">
        <f>IFERROR(__xludf.DUMMYFUNCTION("""COMPUTED_VALUE"""),"折戸大介")</f>
        <v>折戸大介</v>
      </c>
      <c r="L16" s="259" t="str">
        <f>IFERROR(__xludf.DUMMYFUNCTION("""COMPUTED_VALUE"""),"フラッキーニョ")</f>
        <v>フラッキーニョ</v>
      </c>
      <c r="M16" s="259" t="str">
        <f>IFERROR(__xludf.DUMMYFUNCTION("""COMPUTED_VALUE"""),"選手名")</f>
        <v>選手名</v>
      </c>
      <c r="N16" s="259" t="str">
        <f>IFERROR(__xludf.DUMMYFUNCTION("""COMPUTED_VALUE"""),"Ninja650")</f>
        <v>Ninja650</v>
      </c>
      <c r="O16" s="259" t="str">
        <f>IFERROR(__xludf.DUMMYFUNCTION("""COMPUTED_VALUE"""),"白")</f>
        <v>白</v>
      </c>
      <c r="P16" s="260" t="str">
        <f>IFERROR(__xludf.DUMMYFUNCTION("""COMPUTED_VALUE"""),"D級")</f>
        <v>D級</v>
      </c>
      <c r="Q16" s="261"/>
      <c r="R16" s="261"/>
      <c r="S16" s="261"/>
      <c r="T16" s="261"/>
      <c r="U16" s="256" t="str">
        <f>IFERROR(__xludf.DUMMYFUNCTION("""COMPUTED_VALUE"""),"いいえ")</f>
        <v>いいえ</v>
      </c>
      <c r="V16" s="256" t="str">
        <f>IFERROR(__xludf.DUMMYFUNCTION("""COMPUTED_VALUE"""),"いいえ")</f>
        <v>いいえ</v>
      </c>
      <c r="W16" s="261"/>
      <c r="X16" s="259" t="str">
        <f>IFERROR(__xludf.DUMMYFUNCTION("""COMPUTED_VALUE"""),"全てMC様にお任せします。")</f>
        <v>全てMC様にお任せします。</v>
      </c>
      <c r="Y16" s="262"/>
    </row>
    <row r="17">
      <c r="A17" s="248"/>
      <c r="B17" s="249">
        <f>IFERROR(__xludf.DUMMYFUNCTION("""COMPUTED_VALUE"""),3.0)</f>
        <v>3</v>
      </c>
      <c r="C17" s="249" t="str">
        <f>IFERROR(__xludf.DUMMYFUNCTION("""COMPUTED_VALUE"""),"D")</f>
        <v>D</v>
      </c>
      <c r="D17" s="249" t="str">
        <f>IFERROR(__xludf.DUMMYFUNCTION("""COMPUTED_VALUE"""),"-")</f>
        <v>-</v>
      </c>
      <c r="E17" s="250" t="str">
        <f>IFERROR(__xludf.DUMMYFUNCTION("""COMPUTED_VALUE"""),"タンビーナ")</f>
        <v>タンビーナ</v>
      </c>
      <c r="F17" s="263" t="str">
        <f>IFERROR(__xludf.DUMMYFUNCTION("""COMPUTED_VALUE"""),"参加")</f>
        <v>参加</v>
      </c>
      <c r="G17" s="263" t="str">
        <f>IFERROR(__xludf.DUMMYFUNCTION("""COMPUTED_VALUE"""),"朝：受付")</f>
        <v>朝：受付</v>
      </c>
      <c r="H17" s="263">
        <f>IFERROR(__xludf.DUMMYFUNCTION("""COMPUTED_VALUE"""),3.0)</f>
        <v>3</v>
      </c>
      <c r="I17" s="258">
        <f>IFERROR(__xludf.DUMMYFUNCTION("""COMPUTED_VALUE"""),45697.55744645833)</f>
        <v>45697.55745</v>
      </c>
      <c r="J17" s="259" t="str">
        <f>IFERROR(__xludf.DUMMYFUNCTION("""COMPUTED_VALUE"""),"はい")</f>
        <v>はい</v>
      </c>
      <c r="K17" s="259" t="str">
        <f>IFERROR(__xludf.DUMMYFUNCTION("""COMPUTED_VALUE"""),"川原　佳那子")</f>
        <v>川原　佳那子</v>
      </c>
      <c r="L17" s="259" t="str">
        <f>IFERROR(__xludf.DUMMYFUNCTION("""COMPUTED_VALUE"""),"タンビーナ")</f>
        <v>タンビーナ</v>
      </c>
      <c r="M17" s="259" t="str">
        <f>IFERROR(__xludf.DUMMYFUNCTION("""COMPUTED_VALUE"""),"選手名")</f>
        <v>選手名</v>
      </c>
      <c r="N17" s="259" t="str">
        <f>IFERROR(__xludf.DUMMYFUNCTION("""COMPUTED_VALUE"""),"MT-03")</f>
        <v>MT-03</v>
      </c>
      <c r="O17" s="259" t="str">
        <f>IFERROR(__xludf.DUMMYFUNCTION("""COMPUTED_VALUE"""),"シルバー/青")</f>
        <v>シルバー/青</v>
      </c>
      <c r="P17" s="259" t="str">
        <f>IFERROR(__xludf.DUMMYFUNCTION("""COMPUTED_VALUE"""),"D級")</f>
        <v>D級</v>
      </c>
      <c r="Q17" s="261"/>
      <c r="R17" s="261"/>
      <c r="S17" s="261"/>
      <c r="T17" s="261"/>
      <c r="U17" s="256" t="str">
        <f>IFERROR(__xludf.DUMMYFUNCTION("""COMPUTED_VALUE"""),"いいえ")</f>
        <v>いいえ</v>
      </c>
      <c r="V17" s="256" t="str">
        <f>IFERROR(__xludf.DUMMYFUNCTION("""COMPUTED_VALUE"""),"いいえ")</f>
        <v>いいえ</v>
      </c>
      <c r="W17" s="261"/>
      <c r="X17" s="259" t="str">
        <f>IFERROR(__xludf.DUMMYFUNCTION("""COMPUTED_VALUE"""),"にじチャレ初開催おめでとうございます！当日はきっと良いお天気になると信じています！")</f>
        <v>にじチャレ初開催おめでとうございます！当日はきっと良いお天気になると信じています！</v>
      </c>
      <c r="Y17" s="262"/>
    </row>
    <row r="18">
      <c r="A18" s="248"/>
      <c r="B18" s="249">
        <f>IFERROR(__xludf.DUMMYFUNCTION("""COMPUTED_VALUE"""),2.0)</f>
        <v>2</v>
      </c>
      <c r="C18" s="249" t="str">
        <f>IFERROR(__xludf.DUMMYFUNCTION("""COMPUTED_VALUE"""),"D")</f>
        <v>D</v>
      </c>
      <c r="D18" s="249" t="str">
        <f>IFERROR(__xludf.DUMMYFUNCTION("""COMPUTED_VALUE"""),"-")</f>
        <v>-</v>
      </c>
      <c r="E18" s="250" t="str">
        <f>IFERROR(__xludf.DUMMYFUNCTION("""COMPUTED_VALUE"""),"ちゃっぴー")</f>
        <v>ちゃっぴー</v>
      </c>
      <c r="F18" s="263" t="str">
        <f>IFERROR(__xludf.DUMMYFUNCTION("""COMPUTED_VALUE"""),"参加")</f>
        <v>参加</v>
      </c>
      <c r="G18" s="263" t="str">
        <f>IFERROR(__xludf.DUMMYFUNCTION("""COMPUTED_VALUE"""),"朝：コース設営")</f>
        <v>朝：コース設営</v>
      </c>
      <c r="H18" s="263">
        <f>IFERROR(__xludf.DUMMYFUNCTION("""COMPUTED_VALUE"""),2.0)</f>
        <v>2</v>
      </c>
      <c r="I18" s="258">
        <f>IFERROR(__xludf.DUMMYFUNCTION("""COMPUTED_VALUE"""),45697.56366078704)</f>
        <v>45697.56366</v>
      </c>
      <c r="J18" s="259" t="str">
        <f>IFERROR(__xludf.DUMMYFUNCTION("""COMPUTED_VALUE"""),"はい")</f>
        <v>はい</v>
      </c>
      <c r="K18" s="259" t="str">
        <f>IFERROR(__xludf.DUMMYFUNCTION("""COMPUTED_VALUE"""),"鵜飼宏行")</f>
        <v>鵜飼宏行</v>
      </c>
      <c r="L18" s="259" t="str">
        <f>IFERROR(__xludf.DUMMYFUNCTION("""COMPUTED_VALUE"""),"ちゃっぴー")</f>
        <v>ちゃっぴー</v>
      </c>
      <c r="M18" s="259" t="str">
        <f>IFERROR(__xludf.DUMMYFUNCTION("""COMPUTED_VALUE"""),"選手名")</f>
        <v>選手名</v>
      </c>
      <c r="N18" s="259" t="str">
        <f>IFERROR(__xludf.DUMMYFUNCTION("""COMPUTED_VALUE"""),"CB250R")</f>
        <v>CB250R</v>
      </c>
      <c r="O18" s="259" t="str">
        <f>IFERROR(__xludf.DUMMYFUNCTION("""COMPUTED_VALUE"""),"シルバー")</f>
        <v>シルバー</v>
      </c>
      <c r="P18" s="259" t="str">
        <f>IFERROR(__xludf.DUMMYFUNCTION("""COMPUTED_VALUE"""),"D級")</f>
        <v>D級</v>
      </c>
      <c r="Q18" s="261"/>
      <c r="R18" s="261"/>
      <c r="S18" s="261"/>
      <c r="T18" s="261"/>
      <c r="U18" s="256" t="str">
        <f>IFERROR(__xludf.DUMMYFUNCTION("""COMPUTED_VALUE"""),"いいえ")</f>
        <v>いいえ</v>
      </c>
      <c r="V18" s="256" t="str">
        <f>IFERROR(__xludf.DUMMYFUNCTION("""COMPUTED_VALUE"""),"いいえ")</f>
        <v>いいえ</v>
      </c>
      <c r="W18" s="261"/>
      <c r="X18" s="259" t="str">
        <f>IFERROR(__xludf.DUMMYFUNCTION("""COMPUTED_VALUE"""),"願わくばC2に上がれますように！")</f>
        <v>願わくばC2に上がれますように！</v>
      </c>
      <c r="Y18" s="262"/>
    </row>
    <row r="19">
      <c r="A19" s="248"/>
      <c r="B19" s="249">
        <f>IFERROR(__xludf.DUMMYFUNCTION("""COMPUTED_VALUE"""),19.0)</f>
        <v>19</v>
      </c>
      <c r="C19" s="249" t="str">
        <f>IFERROR(__xludf.DUMMYFUNCTION("""COMPUTED_VALUE"""),"N")</f>
        <v>N</v>
      </c>
      <c r="D19" s="249" t="str">
        <f>IFERROR(__xludf.DUMMYFUNCTION("""COMPUTED_VALUE"""),"-")</f>
        <v>-</v>
      </c>
      <c r="E19" s="250" t="str">
        <f>IFERROR(__xludf.DUMMYFUNCTION("""COMPUTED_VALUE"""),"グチ")</f>
        <v>グチ</v>
      </c>
      <c r="F19" s="263" t="str">
        <f>IFERROR(__xludf.DUMMYFUNCTION("""COMPUTED_VALUE"""),"参加")</f>
        <v>参加</v>
      </c>
      <c r="G19" s="263" t="str">
        <f>IFERROR(__xludf.DUMMYFUNCTION("""COMPUTED_VALUE"""),"後半：カメラ①")</f>
        <v>後半：カメラ①</v>
      </c>
      <c r="H19" s="263">
        <f>IFERROR(__xludf.DUMMYFUNCTION("""COMPUTED_VALUE"""),19.0)</f>
        <v>19</v>
      </c>
      <c r="I19" s="258">
        <f>IFERROR(__xludf.DUMMYFUNCTION("""COMPUTED_VALUE"""),45697.58980332176)</f>
        <v>45697.5898</v>
      </c>
      <c r="J19" s="259" t="str">
        <f>IFERROR(__xludf.DUMMYFUNCTION("""COMPUTED_VALUE"""),"はい")</f>
        <v>はい</v>
      </c>
      <c r="K19" s="259" t="str">
        <f>IFERROR(__xludf.DUMMYFUNCTION("""COMPUTED_VALUE"""),"山口　和洋")</f>
        <v>山口　和洋</v>
      </c>
      <c r="L19" s="259" t="str">
        <f>IFERROR(__xludf.DUMMYFUNCTION("""COMPUTED_VALUE"""),"グチ")</f>
        <v>グチ</v>
      </c>
      <c r="M19" s="259" t="str">
        <f>IFERROR(__xludf.DUMMYFUNCTION("""COMPUTED_VALUE"""),"選手名")</f>
        <v>選手名</v>
      </c>
      <c r="N19" s="259" t="str">
        <f>IFERROR(__xludf.DUMMYFUNCTION("""COMPUTED_VALUE"""),"R1250GS")</f>
        <v>R1250GS</v>
      </c>
      <c r="O19" s="259" t="str">
        <f>IFERROR(__xludf.DUMMYFUNCTION("""COMPUTED_VALUE"""),"グレー")</f>
        <v>グレー</v>
      </c>
      <c r="P19" s="259" t="str">
        <f>IFERROR(__xludf.DUMMYFUNCTION("""COMPUTED_VALUE"""),"N級")</f>
        <v>N級</v>
      </c>
      <c r="Q19" s="261"/>
      <c r="R19" s="261"/>
      <c r="S19" s="261"/>
      <c r="T19" s="261"/>
      <c r="U19" s="256" t="str">
        <f>IFERROR(__xludf.DUMMYFUNCTION("""COMPUTED_VALUE"""),"いいえ")</f>
        <v>いいえ</v>
      </c>
      <c r="V19" s="256" t="str">
        <f>IFERROR(__xludf.DUMMYFUNCTION("""COMPUTED_VALUE"""),"いいえ")</f>
        <v>いいえ</v>
      </c>
      <c r="W19" s="261"/>
      <c r="X19" s="259" t="str">
        <f>IFERROR(__xludf.DUMMYFUNCTION("""COMPUTED_VALUE"""),"デカい、重い、足つき悪いと3拍子揃った素敵なバイクです。
みなさんアドベンチャーバイクに興味はございませんか？")</f>
        <v>デカい、重い、足つき悪いと3拍子揃った素敵なバイクです。
みなさんアドベンチャーバイクに興味はございませんか？</v>
      </c>
      <c r="Y19" s="262"/>
    </row>
    <row r="20">
      <c r="A20" s="248"/>
      <c r="B20" s="249">
        <f>IFERROR(__xludf.DUMMYFUNCTION("""COMPUTED_VALUE"""),33.0)</f>
        <v>33</v>
      </c>
      <c r="C20" s="249" t="str">
        <f>IFERROR(__xludf.DUMMYFUNCTION("""COMPUTED_VALUE"""),"C2")</f>
        <v>C2</v>
      </c>
      <c r="D20" s="249" t="str">
        <f>IFERROR(__xludf.DUMMYFUNCTION("""COMPUTED_VALUE"""),"-")</f>
        <v>-</v>
      </c>
      <c r="E20" s="250" t="str">
        <f>IFERROR(__xludf.DUMMYFUNCTION("""COMPUTED_VALUE"""),"浅野智博")</f>
        <v>浅野智博</v>
      </c>
      <c r="F20" s="263" t="str">
        <f>IFERROR(__xludf.DUMMYFUNCTION("""COMPUTED_VALUE"""),"参加")</f>
        <v>参加</v>
      </c>
      <c r="G20" s="263" t="str">
        <f>IFERROR(__xludf.DUMMYFUNCTION("""COMPUTED_VALUE"""),"朝：本部設営
前半：スターター＆記録")</f>
        <v>朝：本部設営
前半：スターター＆記録</v>
      </c>
      <c r="H20" s="263">
        <f>IFERROR(__xludf.DUMMYFUNCTION("""COMPUTED_VALUE"""),32.0)</f>
        <v>32</v>
      </c>
      <c r="I20" s="258">
        <f>IFERROR(__xludf.DUMMYFUNCTION("""COMPUTED_VALUE"""),45697.60653844908)</f>
        <v>45697.60654</v>
      </c>
      <c r="J20" s="259" t="str">
        <f>IFERROR(__xludf.DUMMYFUNCTION("""COMPUTED_VALUE"""),"はい")</f>
        <v>はい</v>
      </c>
      <c r="K20" s="259" t="str">
        <f>IFERROR(__xludf.DUMMYFUNCTION("""COMPUTED_VALUE"""),"浅野智博")</f>
        <v>浅野智博</v>
      </c>
      <c r="L20" s="259" t="str">
        <f>IFERROR(__xludf.DUMMYFUNCTION("""COMPUTED_VALUE"""),"お豆")</f>
        <v>お豆</v>
      </c>
      <c r="M20" s="259" t="str">
        <f>IFERROR(__xludf.DUMMYFUNCTION("""COMPUTED_VALUE"""),"本名")</f>
        <v>本名</v>
      </c>
      <c r="N20" s="259" t="str">
        <f>IFERROR(__xludf.DUMMYFUNCTION("""COMPUTED_VALUE"""),"YZ250FX")</f>
        <v>YZ250FX</v>
      </c>
      <c r="O20" s="259" t="str">
        <f>IFERROR(__xludf.DUMMYFUNCTION("""COMPUTED_VALUE"""),"白")</f>
        <v>白</v>
      </c>
      <c r="P20" s="259" t="str">
        <f>IFERROR(__xludf.DUMMYFUNCTION("""COMPUTED_VALUE"""),"C2級")</f>
        <v>C2級</v>
      </c>
      <c r="Q20" s="261"/>
      <c r="R20" s="261"/>
      <c r="S20" s="261"/>
      <c r="T20" s="261"/>
      <c r="U20" s="256" t="str">
        <f>IFERROR(__xludf.DUMMYFUNCTION("""COMPUTED_VALUE"""),"いいえ")</f>
        <v>いいえ</v>
      </c>
      <c r="V20" s="256" t="str">
        <f>IFERROR(__xludf.DUMMYFUNCTION("""COMPUTED_VALUE"""),"いいえ")</f>
        <v>いいえ</v>
      </c>
      <c r="W20" s="261"/>
      <c r="X20" s="259" t="str">
        <f>IFERROR(__xludf.DUMMYFUNCTION("""COMPUTED_VALUE"""),"転けないように頑張ります！")</f>
        <v>転けないように頑張ります！</v>
      </c>
      <c r="Y20" s="262"/>
    </row>
    <row r="21">
      <c r="A21" s="248"/>
      <c r="B21" s="249">
        <f>IFERROR(__xludf.DUMMYFUNCTION("""COMPUTED_VALUE"""),29.0)</f>
        <v>29</v>
      </c>
      <c r="C21" s="249" t="str">
        <f>IFERROR(__xludf.DUMMYFUNCTION("""COMPUTED_VALUE"""),"C2")</f>
        <v>C2</v>
      </c>
      <c r="D21" s="249" t="str">
        <f>IFERROR(__xludf.DUMMYFUNCTION("""COMPUTED_VALUE"""),"-")</f>
        <v>-</v>
      </c>
      <c r="E21" s="250" t="str">
        <f>IFERROR(__xludf.DUMMYFUNCTION("""COMPUTED_VALUE"""),"どーやP")</f>
        <v>どーやP</v>
      </c>
      <c r="F21" s="263" t="str">
        <f>IFERROR(__xludf.DUMMYFUNCTION("""COMPUTED_VALUE"""),"参加")</f>
        <v>参加</v>
      </c>
      <c r="G21" s="263" t="str">
        <f>IFERROR(__xludf.DUMMYFUNCTION("""COMPUTED_VALUE"""),"前半：マーシャル①")</f>
        <v>前半：マーシャル①</v>
      </c>
      <c r="H21" s="263">
        <f>IFERROR(__xludf.DUMMYFUNCTION("""COMPUTED_VALUE"""),28.0)</f>
        <v>28</v>
      </c>
      <c r="I21" s="258">
        <f>IFERROR(__xludf.DUMMYFUNCTION("""COMPUTED_VALUE"""),45697.65323380787)</f>
        <v>45697.65323</v>
      </c>
      <c r="J21" s="259" t="str">
        <f>IFERROR(__xludf.DUMMYFUNCTION("""COMPUTED_VALUE"""),"はい")</f>
        <v>はい</v>
      </c>
      <c r="K21" s="259" t="str">
        <f>IFERROR(__xludf.DUMMYFUNCTION("""COMPUTED_VALUE"""),"松本達也")</f>
        <v>松本達也</v>
      </c>
      <c r="L21" s="259" t="str">
        <f>IFERROR(__xludf.DUMMYFUNCTION("""COMPUTED_VALUE"""),"どーやP")</f>
        <v>どーやP</v>
      </c>
      <c r="M21" s="259" t="str">
        <f>IFERROR(__xludf.DUMMYFUNCTION("""COMPUTED_VALUE"""),"選手名")</f>
        <v>選手名</v>
      </c>
      <c r="N21" s="259" t="str">
        <f>IFERROR(__xludf.DUMMYFUNCTION("""COMPUTED_VALUE"""),"Z400")</f>
        <v>Z400</v>
      </c>
      <c r="O21" s="259" t="str">
        <f>IFERROR(__xludf.DUMMYFUNCTION("""COMPUTED_VALUE"""),"黒")</f>
        <v>黒</v>
      </c>
      <c r="P21" s="260" t="str">
        <f>IFERROR(__xludf.DUMMYFUNCTION("""COMPUTED_VALUE"""),"C2級")</f>
        <v>C2級</v>
      </c>
      <c r="Q21" s="261"/>
      <c r="R21" s="261"/>
      <c r="S21" s="261"/>
      <c r="T21" s="261"/>
      <c r="U21" s="256" t="str">
        <f>IFERROR(__xludf.DUMMYFUNCTION("""COMPUTED_VALUE"""),"いいえ")</f>
        <v>いいえ</v>
      </c>
      <c r="V21" s="256" t="str">
        <f>IFERROR(__xludf.DUMMYFUNCTION("""COMPUTED_VALUE"""),"いいえ")</f>
        <v>いいえ</v>
      </c>
      <c r="W21" s="261"/>
      <c r="X21" s="259" t="str">
        <f>IFERROR(__xludf.DUMMYFUNCTION("""COMPUTED_VALUE"""),"今シーズン開幕戦に向けて23キロもダイエットしました！だだし痩せたのはバイクです。Z650からZ400に乗り換えての挑戦です。乗り換えたばかりですが結果を出せるようにがんばります！")</f>
        <v>今シーズン開幕戦に向けて23キロもダイエットしました！だだし痩せたのはバイクです。Z650からZ400に乗り換えての挑戦です。乗り換えたばかりですが結果を出せるようにがんばります！</v>
      </c>
      <c r="Y21" s="262"/>
    </row>
    <row r="22">
      <c r="A22" s="248"/>
      <c r="B22" s="249">
        <f>IFERROR(__xludf.DUMMYFUNCTION("""COMPUTED_VALUE"""),17.0)</f>
        <v>17</v>
      </c>
      <c r="C22" s="249" t="str">
        <f>IFERROR(__xludf.DUMMYFUNCTION("""COMPUTED_VALUE"""),"N")</f>
        <v>N</v>
      </c>
      <c r="D22" s="249" t="str">
        <f>IFERROR(__xludf.DUMMYFUNCTION("""COMPUTED_VALUE"""),"-")</f>
        <v>-</v>
      </c>
      <c r="E22" s="250" t="str">
        <f>IFERROR(__xludf.DUMMYFUNCTION("""COMPUTED_VALUE"""),"オカピー")</f>
        <v>オカピー</v>
      </c>
      <c r="F22" s="263" t="str">
        <f>IFERROR(__xludf.DUMMYFUNCTION("""COMPUTED_VALUE"""),"参加")</f>
        <v>参加</v>
      </c>
      <c r="G22" s="263" t="str">
        <f>IFERROR(__xludf.DUMMYFUNCTION("""COMPUTED_VALUE"""),"後半：カメラ②")</f>
        <v>後半：カメラ②</v>
      </c>
      <c r="H22" s="263">
        <f>IFERROR(__xludf.DUMMYFUNCTION("""COMPUTED_VALUE"""),17.0)</f>
        <v>17</v>
      </c>
      <c r="I22" s="258">
        <f>IFERROR(__xludf.DUMMYFUNCTION("""COMPUTED_VALUE"""),45697.67687505787)</f>
        <v>45697.67688</v>
      </c>
      <c r="J22" s="259" t="str">
        <f>IFERROR(__xludf.DUMMYFUNCTION("""COMPUTED_VALUE"""),"はい")</f>
        <v>はい</v>
      </c>
      <c r="K22" s="259" t="str">
        <f>IFERROR(__xludf.DUMMYFUNCTION("""COMPUTED_VALUE"""),"高岡　武司")</f>
        <v>高岡　武司</v>
      </c>
      <c r="L22" s="259" t="str">
        <f>IFERROR(__xludf.DUMMYFUNCTION("""COMPUTED_VALUE"""),"オカピー")</f>
        <v>オカピー</v>
      </c>
      <c r="M22" s="259" t="str">
        <f>IFERROR(__xludf.DUMMYFUNCTION("""COMPUTED_VALUE"""),"選手名")</f>
        <v>選手名</v>
      </c>
      <c r="N22" s="259" t="str">
        <f>IFERROR(__xludf.DUMMYFUNCTION("""COMPUTED_VALUE"""),"VTR")</f>
        <v>VTR</v>
      </c>
      <c r="O22" s="259" t="str">
        <f>IFERROR(__xludf.DUMMYFUNCTION("""COMPUTED_VALUE"""),"グレー")</f>
        <v>グレー</v>
      </c>
      <c r="P22" s="259" t="str">
        <f>IFERROR(__xludf.DUMMYFUNCTION("""COMPUTED_VALUE"""),"N級")</f>
        <v>N級</v>
      </c>
      <c r="Q22" s="261"/>
      <c r="R22" s="261"/>
      <c r="S22" s="261"/>
      <c r="T22" s="261"/>
      <c r="U22" s="256" t="str">
        <f>IFERROR(__xludf.DUMMYFUNCTION("""COMPUTED_VALUE"""),"いいえ")</f>
        <v>いいえ</v>
      </c>
      <c r="V22" s="256" t="str">
        <f>IFERROR(__xludf.DUMMYFUNCTION("""COMPUTED_VALUE"""),"いいえ")</f>
        <v>いいえ</v>
      </c>
      <c r="W22" s="261"/>
      <c r="X22" s="259" t="str">
        <f>IFERROR(__xludf.DUMMYFUNCTION("""COMPUTED_VALUE"""),"張り切っていきましょう！")</f>
        <v>張り切っていきましょう！</v>
      </c>
      <c r="Y22" s="262"/>
    </row>
    <row r="23">
      <c r="A23" s="248"/>
      <c r="B23" s="249">
        <f>IFERROR(__xludf.DUMMYFUNCTION("""COMPUTED_VALUE"""),43.0)</f>
        <v>43</v>
      </c>
      <c r="C23" s="249" t="str">
        <f>IFERROR(__xludf.DUMMYFUNCTION("""COMPUTED_VALUE"""),"C1")</f>
        <v>C1</v>
      </c>
      <c r="D23" s="249" t="str">
        <f>IFERROR(__xludf.DUMMYFUNCTION("""COMPUTED_VALUE"""),"-")</f>
        <v>-</v>
      </c>
      <c r="E23" s="250" t="str">
        <f>IFERROR(__xludf.DUMMYFUNCTION("""COMPUTED_VALUE"""),"とこ山とこ夫")</f>
        <v>とこ山とこ夫</v>
      </c>
      <c r="F23" s="263" t="str">
        <f>IFERROR(__xludf.DUMMYFUNCTION("""COMPUTED_VALUE"""),"参加")</f>
        <v>参加</v>
      </c>
      <c r="G23" s="263" t="str">
        <f>IFERROR(__xludf.DUMMYFUNCTION("""COMPUTED_VALUE"""),"前半：MC＆タイム読み上げ")</f>
        <v>前半：MC＆タイム読み上げ</v>
      </c>
      <c r="H23" s="263">
        <f>IFERROR(__xludf.DUMMYFUNCTION("""COMPUTED_VALUE"""),42.0)</f>
        <v>42</v>
      </c>
      <c r="I23" s="258">
        <f>IFERROR(__xludf.DUMMYFUNCTION("""COMPUTED_VALUE"""),45697.78984125)</f>
        <v>45697.78984</v>
      </c>
      <c r="J23" s="259" t="str">
        <f>IFERROR(__xludf.DUMMYFUNCTION("""COMPUTED_VALUE"""),"はい")</f>
        <v>はい</v>
      </c>
      <c r="K23" s="259" t="str">
        <f>IFERROR(__xludf.DUMMYFUNCTION("""COMPUTED_VALUE"""),"近藤健一郎")</f>
        <v>近藤健一郎</v>
      </c>
      <c r="L23" s="259" t="str">
        <f>IFERROR(__xludf.DUMMYFUNCTION("""COMPUTED_VALUE"""),"とこ山とこ夫")</f>
        <v>とこ山とこ夫</v>
      </c>
      <c r="M23" s="259" t="str">
        <f>IFERROR(__xludf.DUMMYFUNCTION("""COMPUTED_VALUE"""),"選手名")</f>
        <v>選手名</v>
      </c>
      <c r="N23" s="259" t="str">
        <f>IFERROR(__xludf.DUMMYFUNCTION("""COMPUTED_VALUE"""),"Z400")</f>
        <v>Z400</v>
      </c>
      <c r="O23" s="259" t="str">
        <f>IFERROR(__xludf.DUMMYFUNCTION("""COMPUTED_VALUE"""),"黒")</f>
        <v>黒</v>
      </c>
      <c r="P23" s="260" t="str">
        <f>IFERROR(__xludf.DUMMYFUNCTION("""COMPUTED_VALUE"""),"C1級")</f>
        <v>C1級</v>
      </c>
      <c r="Q23" s="261"/>
      <c r="R23" s="261"/>
      <c r="S23" s="261"/>
      <c r="T23" s="261"/>
      <c r="U23" s="256" t="str">
        <f>IFERROR(__xludf.DUMMYFUNCTION("""COMPUTED_VALUE"""),"いいえ")</f>
        <v>いいえ</v>
      </c>
      <c r="V23" s="256" t="str">
        <f>IFERROR(__xludf.DUMMYFUNCTION("""COMPUTED_VALUE"""),"いいえ")</f>
        <v>いいえ</v>
      </c>
      <c r="W23" s="261"/>
      <c r="X23" s="259" t="str">
        <f>IFERROR(__xludf.DUMMYFUNCTION("""COMPUTED_VALUE"""),"にじチャレ！初開催おめでとうございます！天候にも恵まれ素晴らしい大会になりましたね！サーキットコースとても楽しみです！怪我なく元気に楽しく走ります！！")</f>
        <v>にじチャレ！初開催おめでとうございます！天候にも恵まれ素晴らしい大会になりましたね！サーキットコースとても楽しみです！怪我なく元気に楽しく走ります！！</v>
      </c>
      <c r="Y23" s="262"/>
    </row>
    <row r="24">
      <c r="A24" s="248"/>
      <c r="B24" s="249"/>
      <c r="C24" s="249" t="str">
        <f>IFERROR(__xludf.DUMMYFUNCTION("""COMPUTED_VALUE"""),"")</f>
        <v/>
      </c>
      <c r="D24" s="249" t="str">
        <f>IFERROR(__xludf.DUMMYFUNCTION("""COMPUTED_VALUE"""),"-")</f>
        <v>-</v>
      </c>
      <c r="E24" s="250" t="str">
        <f>IFERROR(__xludf.DUMMYFUNCTION("""COMPUTED_VALUE"""),"SZK")</f>
        <v>SZK</v>
      </c>
      <c r="F24" s="263" t="str">
        <f>IFERROR(__xludf.DUMMYFUNCTION("""COMPUTED_VALUE"""),"キャンセル")</f>
        <v>キャンセル</v>
      </c>
      <c r="G24" s="263"/>
      <c r="H24" s="263"/>
      <c r="I24" s="258">
        <f>IFERROR(__xludf.DUMMYFUNCTION("""COMPUTED_VALUE"""),45697.82099570602)</f>
        <v>45697.821</v>
      </c>
      <c r="J24" s="259" t="str">
        <f>IFERROR(__xludf.DUMMYFUNCTION("""COMPUTED_VALUE"""),"はい")</f>
        <v>はい</v>
      </c>
      <c r="K24" s="259" t="str">
        <f>IFERROR(__xludf.DUMMYFUNCTION("""COMPUTED_VALUE"""),"鈴木淳史")</f>
        <v>鈴木淳史</v>
      </c>
      <c r="L24" s="259" t="str">
        <f>IFERROR(__xludf.DUMMYFUNCTION("""COMPUTED_VALUE"""),"SZK")</f>
        <v>SZK</v>
      </c>
      <c r="M24" s="259" t="str">
        <f>IFERROR(__xludf.DUMMYFUNCTION("""COMPUTED_VALUE"""),"選手名")</f>
        <v>選手名</v>
      </c>
      <c r="N24" s="259" t="str">
        <f>IFERROR(__xludf.DUMMYFUNCTION("""COMPUTED_VALUE"""),"GSX-R1000")</f>
        <v>GSX-R1000</v>
      </c>
      <c r="O24" s="259" t="str">
        <f>IFERROR(__xludf.DUMMYFUNCTION("""COMPUTED_VALUE"""),"白")</f>
        <v>白</v>
      </c>
      <c r="P24" s="259" t="str">
        <f>IFERROR(__xludf.DUMMYFUNCTION("""COMPUTED_VALUE"""),"C1級")</f>
        <v>C1級</v>
      </c>
      <c r="Q24" s="261"/>
      <c r="R24" s="261"/>
      <c r="S24" s="261"/>
      <c r="T24" s="261"/>
      <c r="U24" s="256" t="str">
        <f>IFERROR(__xludf.DUMMYFUNCTION("""COMPUTED_VALUE"""),"いいえ")</f>
        <v>いいえ</v>
      </c>
      <c r="V24" s="256" t="str">
        <f>IFERROR(__xludf.DUMMYFUNCTION("""COMPUTED_VALUE"""),"いいえ")</f>
        <v>いいえ</v>
      </c>
      <c r="W24" s="261"/>
      <c r="X24" s="259" t="str">
        <f>IFERROR(__xludf.DUMMYFUNCTION("""COMPUTED_VALUE"""),"よろしくお願いいたします。")</f>
        <v>よろしくお願いいたします。</v>
      </c>
      <c r="Y24" s="262"/>
    </row>
    <row r="25">
      <c r="A25" s="248"/>
      <c r="B25" s="249">
        <f>IFERROR(__xludf.DUMMYFUNCTION("""COMPUTED_VALUE"""),41.0)</f>
        <v>41</v>
      </c>
      <c r="C25" s="249" t="str">
        <f>IFERROR(__xludf.DUMMYFUNCTION("""COMPUTED_VALUE"""),"C1")</f>
        <v>C1</v>
      </c>
      <c r="D25" s="249" t="str">
        <f>IFERROR(__xludf.DUMMYFUNCTION("""COMPUTED_VALUE"""),"-")</f>
        <v>-</v>
      </c>
      <c r="E25" s="250" t="str">
        <f>IFERROR(__xludf.DUMMYFUNCTION("""COMPUTED_VALUE"""),"たけし")</f>
        <v>たけし</v>
      </c>
      <c r="F25" s="263" t="str">
        <f>IFERROR(__xludf.DUMMYFUNCTION("""COMPUTED_VALUE"""),"参加")</f>
        <v>参加</v>
      </c>
      <c r="G25" s="263" t="str">
        <f>IFERROR(__xludf.DUMMYFUNCTION("""COMPUTED_VALUE"""),"-")</f>
        <v>-</v>
      </c>
      <c r="H25" s="263">
        <f>IFERROR(__xludf.DUMMYFUNCTION("""COMPUTED_VALUE"""),40.0)</f>
        <v>40</v>
      </c>
      <c r="I25" s="258">
        <f>IFERROR(__xludf.DUMMYFUNCTION("""COMPUTED_VALUE"""),45697.834555891204)</f>
        <v>45697.83456</v>
      </c>
      <c r="J25" s="259" t="str">
        <f>IFERROR(__xludf.DUMMYFUNCTION("""COMPUTED_VALUE"""),"はい")</f>
        <v>はい</v>
      </c>
      <c r="K25" s="259" t="str">
        <f>IFERROR(__xludf.DUMMYFUNCTION("""COMPUTED_VALUE"""),"仲田 武史")</f>
        <v>仲田 武史</v>
      </c>
      <c r="L25" s="259" t="str">
        <f>IFERROR(__xludf.DUMMYFUNCTION("""COMPUTED_VALUE"""),"たけし")</f>
        <v>たけし</v>
      </c>
      <c r="M25" s="260" t="str">
        <f>IFERROR(__xludf.DUMMYFUNCTION("""COMPUTED_VALUE"""),"選手名")</f>
        <v>選手名</v>
      </c>
      <c r="N25" s="259" t="str">
        <f>IFERROR(__xludf.DUMMYFUNCTION("""COMPUTED_VALUE"""),"YZ250")</f>
        <v>YZ250</v>
      </c>
      <c r="O25" s="259" t="str">
        <f>IFERROR(__xludf.DUMMYFUNCTION("""COMPUTED_VALUE"""),"青/ピンク")</f>
        <v>青/ピンク</v>
      </c>
      <c r="P25" s="259" t="str">
        <f>IFERROR(__xludf.DUMMYFUNCTION("""COMPUTED_VALUE"""),"C1級")</f>
        <v>C1級</v>
      </c>
      <c r="Q25" s="261"/>
      <c r="R25" s="261"/>
      <c r="S25" s="261"/>
      <c r="T25" s="261"/>
      <c r="U25" s="256" t="str">
        <f>IFERROR(__xludf.DUMMYFUNCTION("""COMPUTED_VALUE"""),"いいえ")</f>
        <v>いいえ</v>
      </c>
      <c r="V25" s="256" t="str">
        <f>IFERROR(__xludf.DUMMYFUNCTION("""COMPUTED_VALUE"""),"いいえ")</f>
        <v>いいえ</v>
      </c>
      <c r="W25" s="261"/>
      <c r="X25" s="259" t="str">
        <f>IFERROR(__xludf.DUMMYFUNCTION("""COMPUTED_VALUE"""),"リクルス無しで勝ちたいです！
一生懸命走ります！！")</f>
        <v>リクルス無しで勝ちたいです！
一生懸命走ります！！</v>
      </c>
      <c r="Y25" s="262"/>
    </row>
    <row r="26">
      <c r="A26" s="248"/>
      <c r="B26" s="249">
        <f>IFERROR(__xludf.DUMMYFUNCTION("""COMPUTED_VALUE"""),12.0)</f>
        <v>12</v>
      </c>
      <c r="C26" s="249" t="str">
        <f>IFERROR(__xludf.DUMMYFUNCTION("""COMPUTED_VALUE"""),"D")</f>
        <v>D</v>
      </c>
      <c r="D26" s="249" t="str">
        <f>IFERROR(__xludf.DUMMYFUNCTION("""COMPUTED_VALUE"""),"-")</f>
        <v>-</v>
      </c>
      <c r="E26" s="250" t="str">
        <f>IFERROR(__xludf.DUMMYFUNCTION("""COMPUTED_VALUE"""),"ぶんちゃん")</f>
        <v>ぶんちゃん</v>
      </c>
      <c r="F26" s="263" t="str">
        <f>IFERROR(__xludf.DUMMYFUNCTION("""COMPUTED_VALUE"""),"参加")</f>
        <v>参加</v>
      </c>
      <c r="G26" s="263" t="str">
        <f>IFERROR(__xludf.DUMMYFUNCTION("""COMPUTED_VALUE"""),"朝：車検")</f>
        <v>朝：車検</v>
      </c>
      <c r="H26" s="263">
        <f>IFERROR(__xludf.DUMMYFUNCTION("""COMPUTED_VALUE"""),12.0)</f>
        <v>12</v>
      </c>
      <c r="I26" s="258">
        <f>IFERROR(__xludf.DUMMYFUNCTION("""COMPUTED_VALUE"""),45697.844538460646)</f>
        <v>45697.84454</v>
      </c>
      <c r="J26" s="259" t="str">
        <f>IFERROR(__xludf.DUMMYFUNCTION("""COMPUTED_VALUE"""),"はい")</f>
        <v>はい</v>
      </c>
      <c r="K26" s="259" t="str">
        <f>IFERROR(__xludf.DUMMYFUNCTION("""COMPUTED_VALUE"""),"國分 隆宇")</f>
        <v>國分 隆宇</v>
      </c>
      <c r="L26" s="259" t="str">
        <f>IFERROR(__xludf.DUMMYFUNCTION("""COMPUTED_VALUE"""),"ぶんちゃん")</f>
        <v>ぶんちゃん</v>
      </c>
      <c r="M26" s="259" t="str">
        <f>IFERROR(__xludf.DUMMYFUNCTION("""COMPUTED_VALUE"""),"選手名")</f>
        <v>選手名</v>
      </c>
      <c r="N26" s="259" t="str">
        <f>IFERROR(__xludf.DUMMYFUNCTION("""COMPUTED_VALUE"""),"GSX-R1000")</f>
        <v>GSX-R1000</v>
      </c>
      <c r="O26" s="259" t="str">
        <f>IFERROR(__xludf.DUMMYFUNCTION("""COMPUTED_VALUE"""),"グレー")</f>
        <v>グレー</v>
      </c>
      <c r="P26" s="260" t="str">
        <f>IFERROR(__xludf.DUMMYFUNCTION("""COMPUTED_VALUE"""),"D級")</f>
        <v>D級</v>
      </c>
      <c r="Q26" s="261"/>
      <c r="R26" s="261"/>
      <c r="S26" s="261"/>
      <c r="T26" s="261"/>
      <c r="U26" s="256" t="str">
        <f>IFERROR(__xludf.DUMMYFUNCTION("""COMPUTED_VALUE"""),"いいえ")</f>
        <v>いいえ</v>
      </c>
      <c r="V26" s="256" t="str">
        <f>IFERROR(__xludf.DUMMYFUNCTION("""COMPUTED_VALUE"""),"いいえ")</f>
        <v>いいえ</v>
      </c>
      <c r="W26" s="261"/>
      <c r="X26" s="259" t="str">
        <f>IFERROR(__xludf.DUMMYFUNCTION("""COMPUTED_VALUE"""),"フルバンクで膝を擦ってタイムも残します！！")</f>
        <v>フルバンクで膝を擦ってタイムも残します！！</v>
      </c>
      <c r="Y26" s="262"/>
    </row>
    <row r="27">
      <c r="A27" s="248"/>
      <c r="B27" s="249">
        <f>IFERROR(__xludf.DUMMYFUNCTION("""COMPUTED_VALUE"""),34.0)</f>
        <v>34</v>
      </c>
      <c r="C27" s="249" t="str">
        <f>IFERROR(__xludf.DUMMYFUNCTION("""COMPUTED_VALUE"""),"C2")</f>
        <v>C2</v>
      </c>
      <c r="D27" s="249" t="str">
        <f>IFERROR(__xludf.DUMMYFUNCTION("""COMPUTED_VALUE"""),"-")</f>
        <v>-</v>
      </c>
      <c r="E27" s="250" t="str">
        <f>IFERROR(__xludf.DUMMYFUNCTION("""COMPUTED_VALUE"""),"もーと")</f>
        <v>もーと</v>
      </c>
      <c r="F27" s="263" t="str">
        <f>IFERROR(__xludf.DUMMYFUNCTION("""COMPUTED_VALUE"""),"参加")</f>
        <v>参加</v>
      </c>
      <c r="G27" s="263" t="str">
        <f>IFERROR(__xludf.DUMMYFUNCTION("""COMPUTED_VALUE"""),"-")</f>
        <v>-</v>
      </c>
      <c r="H27" s="263">
        <f>IFERROR(__xludf.DUMMYFUNCTION("""COMPUTED_VALUE"""),33.0)</f>
        <v>33</v>
      </c>
      <c r="I27" s="258">
        <f>IFERROR(__xludf.DUMMYFUNCTION("""COMPUTED_VALUE"""),45697.855839780095)</f>
        <v>45697.85584</v>
      </c>
      <c r="J27" s="259" t="str">
        <f>IFERROR(__xludf.DUMMYFUNCTION("""COMPUTED_VALUE"""),"はい")</f>
        <v>はい</v>
      </c>
      <c r="K27" s="259" t="str">
        <f>IFERROR(__xludf.DUMMYFUNCTION("""COMPUTED_VALUE"""),"角間　弘基")</f>
        <v>角間　弘基</v>
      </c>
      <c r="L27" s="259" t="str">
        <f>IFERROR(__xludf.DUMMYFUNCTION("""COMPUTED_VALUE"""),"もーと")</f>
        <v>もーと</v>
      </c>
      <c r="M27" s="259" t="str">
        <f>IFERROR(__xludf.DUMMYFUNCTION("""COMPUTED_VALUE"""),"選手名")</f>
        <v>選手名</v>
      </c>
      <c r="N27" s="259" t="str">
        <f>IFERROR(__xludf.DUMMYFUNCTION("""COMPUTED_VALUE"""),"KX85")</f>
        <v>KX85</v>
      </c>
      <c r="O27" s="259" t="str">
        <f>IFERROR(__xludf.DUMMYFUNCTION("""COMPUTED_VALUE"""),"黒/黄")</f>
        <v>黒/黄</v>
      </c>
      <c r="P27" s="259" t="str">
        <f>IFERROR(__xludf.DUMMYFUNCTION("""COMPUTED_VALUE"""),"C2級")</f>
        <v>C2級</v>
      </c>
      <c r="Q27" s="261"/>
      <c r="R27" s="261"/>
      <c r="S27" s="261"/>
      <c r="T27" s="261"/>
      <c r="U27" s="256" t="str">
        <f>IFERROR(__xludf.DUMMYFUNCTION("""COMPUTED_VALUE"""),"いいえ")</f>
        <v>いいえ</v>
      </c>
      <c r="V27" s="256" t="str">
        <f>IFERROR(__xludf.DUMMYFUNCTION("""COMPUTED_VALUE"""),"いいえ")</f>
        <v>いいえ</v>
      </c>
      <c r="W27" s="261"/>
      <c r="X27" s="259" t="str">
        <f>IFERROR(__xludf.DUMMYFUNCTION("""COMPUTED_VALUE"""),"練習の成果を出せるように頑張ります！")</f>
        <v>練習の成果を出せるように頑張ります！</v>
      </c>
      <c r="Y27" s="262"/>
    </row>
    <row r="28">
      <c r="A28" s="248"/>
      <c r="B28" s="249">
        <f>IFERROR(__xludf.DUMMYFUNCTION("""COMPUTED_VALUE"""),52.0)</f>
        <v>52</v>
      </c>
      <c r="C28" s="249" t="str">
        <f>IFERROR(__xludf.DUMMYFUNCTION("""COMPUTED_VALUE"""),"A")</f>
        <v>A</v>
      </c>
      <c r="D28" s="249" t="str">
        <f>IFERROR(__xludf.DUMMYFUNCTION("""COMPUTED_VALUE"""),"-")</f>
        <v>-</v>
      </c>
      <c r="E28" s="250" t="str">
        <f>IFERROR(__xludf.DUMMYFUNCTION("""COMPUTED_VALUE"""),"しゃんばり")</f>
        <v>しゃんばり</v>
      </c>
      <c r="F28" s="263" t="str">
        <f>IFERROR(__xludf.DUMMYFUNCTION("""COMPUTED_VALUE"""),"参加")</f>
        <v>参加</v>
      </c>
      <c r="G28" s="263" t="str">
        <f>IFERROR(__xludf.DUMMYFUNCTION("""COMPUTED_VALUE"""),"-")</f>
        <v>-</v>
      </c>
      <c r="H28" s="263">
        <f>IFERROR(__xludf.DUMMYFUNCTION("""COMPUTED_VALUE"""),51.0)</f>
        <v>51</v>
      </c>
      <c r="I28" s="258">
        <f>IFERROR(__xludf.DUMMYFUNCTION("""COMPUTED_VALUE"""),45697.86199690972)</f>
        <v>45697.862</v>
      </c>
      <c r="J28" s="259" t="str">
        <f>IFERROR(__xludf.DUMMYFUNCTION("""COMPUTED_VALUE"""),"はい")</f>
        <v>はい</v>
      </c>
      <c r="K28" s="259" t="str">
        <f>IFERROR(__xludf.DUMMYFUNCTION("""COMPUTED_VALUE"""),"中村 永")</f>
        <v>中村 永</v>
      </c>
      <c r="L28" s="259" t="str">
        <f>IFERROR(__xludf.DUMMYFUNCTION("""COMPUTED_VALUE"""),"しゃんばり")</f>
        <v>しゃんばり</v>
      </c>
      <c r="M28" s="259" t="str">
        <f>IFERROR(__xludf.DUMMYFUNCTION("""COMPUTED_VALUE"""),"選手名")</f>
        <v>選手名</v>
      </c>
      <c r="N28" s="259" t="str">
        <f>IFERROR(__xludf.DUMMYFUNCTION("""COMPUTED_VALUE"""),"VTR")</f>
        <v>VTR</v>
      </c>
      <c r="O28" s="259" t="str">
        <f>IFERROR(__xludf.DUMMYFUNCTION("""COMPUTED_VALUE"""),"白")</f>
        <v>白</v>
      </c>
      <c r="P28" s="259" t="str">
        <f>IFERROR(__xludf.DUMMYFUNCTION("""COMPUTED_VALUE"""),"A級")</f>
        <v>A級</v>
      </c>
      <c r="Q28" s="261"/>
      <c r="R28" s="261"/>
      <c r="S28" s="261"/>
      <c r="T28" s="261"/>
      <c r="U28" s="256" t="str">
        <f>IFERROR(__xludf.DUMMYFUNCTION("""COMPUTED_VALUE"""),"いいえ")</f>
        <v>いいえ</v>
      </c>
      <c r="V28" s="256" t="str">
        <f>IFERROR(__xludf.DUMMYFUNCTION("""COMPUTED_VALUE"""),"いいえ")</f>
        <v>いいえ</v>
      </c>
      <c r="W28" s="261"/>
      <c r="X28" s="259" t="str">
        <f>IFERROR(__xludf.DUMMYFUNCTION("""COMPUTED_VALUE"""),"組み立てホヤホヤのVTRで初参加です！お手柔らかにお願いします！！笑")</f>
        <v>組み立てホヤホヤのVTRで初参加です！お手柔らかにお願いします！！笑</v>
      </c>
      <c r="Y28" s="262"/>
    </row>
    <row r="29">
      <c r="A29" s="248"/>
      <c r="B29" s="249">
        <f>IFERROR(__xludf.DUMMYFUNCTION("""COMPUTED_VALUE"""),18.0)</f>
        <v>18</v>
      </c>
      <c r="C29" s="249" t="str">
        <f>IFERROR(__xludf.DUMMYFUNCTION("""COMPUTED_VALUE"""),"N")</f>
        <v>N</v>
      </c>
      <c r="D29" s="249" t="str">
        <f>IFERROR(__xludf.DUMMYFUNCTION("""COMPUTED_VALUE"""),"-")</f>
        <v>-</v>
      </c>
      <c r="E29" s="250" t="str">
        <f>IFERROR(__xludf.DUMMYFUNCTION("""COMPUTED_VALUE"""),"みつい")</f>
        <v>みつい</v>
      </c>
      <c r="F29" s="263" t="str">
        <f>IFERROR(__xludf.DUMMYFUNCTION("""COMPUTED_VALUE"""),"参加")</f>
        <v>参加</v>
      </c>
      <c r="G29" s="263" t="str">
        <f>IFERROR(__xludf.DUMMYFUNCTION("""COMPUTED_VALUE"""),"-")</f>
        <v>-</v>
      </c>
      <c r="H29" s="263">
        <f>IFERROR(__xludf.DUMMYFUNCTION("""COMPUTED_VALUE"""),18.0)</f>
        <v>18</v>
      </c>
      <c r="I29" s="258">
        <f>IFERROR(__xludf.DUMMYFUNCTION("""COMPUTED_VALUE"""),45697.90869146991)</f>
        <v>45697.90869</v>
      </c>
      <c r="J29" s="259" t="str">
        <f>IFERROR(__xludf.DUMMYFUNCTION("""COMPUTED_VALUE"""),"はい")</f>
        <v>はい</v>
      </c>
      <c r="K29" s="259" t="str">
        <f>IFERROR(__xludf.DUMMYFUNCTION("""COMPUTED_VALUE"""),"三井　啓徳")</f>
        <v>三井　啓徳</v>
      </c>
      <c r="L29" s="259" t="str">
        <f>IFERROR(__xludf.DUMMYFUNCTION("""COMPUTED_VALUE"""),"みつい")</f>
        <v>みつい</v>
      </c>
      <c r="M29" s="259" t="str">
        <f>IFERROR(__xludf.DUMMYFUNCTION("""COMPUTED_VALUE"""),"選手名")</f>
        <v>選手名</v>
      </c>
      <c r="N29" s="259" t="str">
        <f>IFERROR(__xludf.DUMMYFUNCTION("""COMPUTED_VALUE"""),"GSX250R")</f>
        <v>GSX250R</v>
      </c>
      <c r="O29" s="259" t="str">
        <f>IFERROR(__xludf.DUMMYFUNCTION("""COMPUTED_VALUE"""),"白/黒")</f>
        <v>白/黒</v>
      </c>
      <c r="P29" s="259" t="str">
        <f>IFERROR(__xludf.DUMMYFUNCTION("""COMPUTED_VALUE"""),"N級")</f>
        <v>N級</v>
      </c>
      <c r="Q29" s="261"/>
      <c r="R29" s="261"/>
      <c r="S29" s="261"/>
      <c r="T29" s="261"/>
      <c r="U29" s="256" t="str">
        <f>IFERROR(__xludf.DUMMYFUNCTION("""COMPUTED_VALUE"""),"いいえ")</f>
        <v>いいえ</v>
      </c>
      <c r="V29" s="256" t="str">
        <f>IFERROR(__xludf.DUMMYFUNCTION("""COMPUTED_VALUE"""),"いいえ")</f>
        <v>いいえ</v>
      </c>
      <c r="W29" s="261"/>
      <c r="X29" s="259" t="str">
        <f>IFERROR(__xludf.DUMMYFUNCTION("""COMPUTED_VALUE"""),"あまり見かけないバイクと人ですが、よろしくお願いします。モトジムカーナの大会に出るのは2回目で、去年の中部大会の後にパイロンパーク鈴鹿で練習させてもらい、お世話になりました。今日はその成果を出せるように頑張ります！")</f>
        <v>あまり見かけないバイクと人ですが、よろしくお願いします。モトジムカーナの大会に出るのは2回目で、去年の中部大会の後にパイロンパーク鈴鹿で練習させてもらい、お世話になりました。今日はその成果を出せるように頑張ります！</v>
      </c>
      <c r="Y29" s="262"/>
    </row>
    <row r="30">
      <c r="A30" s="248"/>
      <c r="B30" s="249">
        <f>IFERROR(__xludf.DUMMYFUNCTION("""COMPUTED_VALUE"""),5.0)</f>
        <v>5</v>
      </c>
      <c r="C30" s="249" t="str">
        <f>IFERROR(__xludf.DUMMYFUNCTION("""COMPUTED_VALUE"""),"D")</f>
        <v>D</v>
      </c>
      <c r="D30" s="249" t="str">
        <f>IFERROR(__xludf.DUMMYFUNCTION("""COMPUTED_VALUE"""),"-")</f>
        <v>-</v>
      </c>
      <c r="E30" s="250" t="str">
        <f>IFERROR(__xludf.DUMMYFUNCTION("""COMPUTED_VALUE"""),"ホッシャ")</f>
        <v>ホッシャ</v>
      </c>
      <c r="F30" s="263" t="str">
        <f>IFERROR(__xludf.DUMMYFUNCTION("""COMPUTED_VALUE"""),"参加")</f>
        <v>参加</v>
      </c>
      <c r="G30" s="263" t="str">
        <f>IFERROR(__xludf.DUMMYFUNCTION("""COMPUTED_VALUE"""),"-")</f>
        <v>-</v>
      </c>
      <c r="H30" s="263">
        <f>IFERROR(__xludf.DUMMYFUNCTION("""COMPUTED_VALUE"""),5.0)</f>
        <v>5</v>
      </c>
      <c r="I30" s="258">
        <f>IFERROR(__xludf.DUMMYFUNCTION("""COMPUTED_VALUE"""),45697.91577907407)</f>
        <v>45697.91578</v>
      </c>
      <c r="J30" s="259" t="str">
        <f>IFERROR(__xludf.DUMMYFUNCTION("""COMPUTED_VALUE"""),"はい")</f>
        <v>はい</v>
      </c>
      <c r="K30" s="259" t="str">
        <f>IFERROR(__xludf.DUMMYFUNCTION("""COMPUTED_VALUE"""),"渡邊 星弥")</f>
        <v>渡邊 星弥</v>
      </c>
      <c r="L30" s="259" t="str">
        <f>IFERROR(__xludf.DUMMYFUNCTION("""COMPUTED_VALUE"""),"ホッシャ")</f>
        <v>ホッシャ</v>
      </c>
      <c r="M30" s="259" t="str">
        <f>IFERROR(__xludf.DUMMYFUNCTION("""COMPUTED_VALUE"""),"選手名")</f>
        <v>選手名</v>
      </c>
      <c r="N30" s="259" t="str">
        <f>IFERROR(__xludf.DUMMYFUNCTION("""COMPUTED_VALUE"""),"VTR")</f>
        <v>VTR</v>
      </c>
      <c r="O30" s="259" t="str">
        <f>IFERROR(__xludf.DUMMYFUNCTION("""COMPUTED_VALUE"""),"白")</f>
        <v>白</v>
      </c>
      <c r="P30" s="259" t="str">
        <f>IFERROR(__xludf.DUMMYFUNCTION("""COMPUTED_VALUE"""),"D級")</f>
        <v>D級</v>
      </c>
      <c r="Q30" s="261"/>
      <c r="R30" s="261"/>
      <c r="S30" s="261"/>
      <c r="T30" s="261"/>
      <c r="U30" s="256" t="str">
        <f>IFERROR(__xludf.DUMMYFUNCTION("""COMPUTED_VALUE"""),"いいえ")</f>
        <v>いいえ</v>
      </c>
      <c r="V30" s="256" t="str">
        <f>IFERROR(__xludf.DUMMYFUNCTION("""COMPUTED_VALUE"""),"いいえ")</f>
        <v>いいえ</v>
      </c>
      <c r="W30" s="261"/>
      <c r="X30" s="259" t="str">
        <f>IFERROR(__xludf.DUMMYFUNCTION("""COMPUTED_VALUE"""),"最近サーキット走行への関心がとっても高まってきているんですが、当分ツナギを買うお金が確保できそうにありません。")</f>
        <v>最近サーキット走行への関心がとっても高まってきているんですが、当分ツナギを買うお金が確保できそうにありません。</v>
      </c>
      <c r="Y30" s="262"/>
    </row>
    <row r="31">
      <c r="A31" s="248"/>
      <c r="B31" s="249">
        <f>IFERROR(__xludf.DUMMYFUNCTION("""COMPUTED_VALUE"""),25.0)</f>
        <v>25</v>
      </c>
      <c r="C31" s="249" t="str">
        <f>IFERROR(__xludf.DUMMYFUNCTION("""COMPUTED_VALUE"""),"N")</f>
        <v>N</v>
      </c>
      <c r="D31" s="249" t="str">
        <f>IFERROR(__xludf.DUMMYFUNCTION("""COMPUTED_VALUE"""),"-")</f>
        <v>-</v>
      </c>
      <c r="E31" s="250" t="str">
        <f>IFERROR(__xludf.DUMMYFUNCTION("""COMPUTED_VALUE"""),"さかもっちゃん")</f>
        <v>さかもっちゃん</v>
      </c>
      <c r="F31" s="263" t="str">
        <f>IFERROR(__xludf.DUMMYFUNCTION("""COMPUTED_VALUE"""),"参加")</f>
        <v>参加</v>
      </c>
      <c r="G31" s="263" t="str">
        <f>IFERROR(__xludf.DUMMYFUNCTION("""COMPUTED_VALUE"""),"-")</f>
        <v>-</v>
      </c>
      <c r="H31" s="263">
        <f>IFERROR(__xludf.DUMMYFUNCTION("""COMPUTED_VALUE"""),25.0)</f>
        <v>25</v>
      </c>
      <c r="I31" s="258">
        <f>IFERROR(__xludf.DUMMYFUNCTION("""COMPUTED_VALUE"""),45697.94950681713)</f>
        <v>45697.94951</v>
      </c>
      <c r="J31" s="259" t="str">
        <f>IFERROR(__xludf.DUMMYFUNCTION("""COMPUTED_VALUE"""),"はい")</f>
        <v>はい</v>
      </c>
      <c r="K31" s="259" t="str">
        <f>IFERROR(__xludf.DUMMYFUNCTION("""COMPUTED_VALUE"""),"坂本尚人")</f>
        <v>坂本尚人</v>
      </c>
      <c r="L31" s="259" t="str">
        <f>IFERROR(__xludf.DUMMYFUNCTION("""COMPUTED_VALUE"""),"さかもっちゃん")</f>
        <v>さかもっちゃん</v>
      </c>
      <c r="M31" s="259" t="str">
        <f>IFERROR(__xludf.DUMMYFUNCTION("""COMPUTED_VALUE"""),"選手名")</f>
        <v>選手名</v>
      </c>
      <c r="N31" s="259" t="str">
        <f>IFERROR(__xludf.DUMMYFUNCTION("""COMPUTED_VALUE"""),"690 DUKE")</f>
        <v>690 DUKE</v>
      </c>
      <c r="O31" s="259" t="str">
        <f>IFERROR(__xludf.DUMMYFUNCTION("""COMPUTED_VALUE"""),"白/オレンジ")</f>
        <v>白/オレンジ</v>
      </c>
      <c r="P31" s="259" t="str">
        <f>IFERROR(__xludf.DUMMYFUNCTION("""COMPUTED_VALUE"""),"N級")</f>
        <v>N級</v>
      </c>
      <c r="Q31" s="261"/>
      <c r="R31" s="261"/>
      <c r="S31" s="261"/>
      <c r="T31" s="261"/>
      <c r="U31" s="256" t="str">
        <f>IFERROR(__xludf.DUMMYFUNCTION("""COMPUTED_VALUE"""),"いいえ")</f>
        <v>いいえ</v>
      </c>
      <c r="V31" s="256" t="str">
        <f>IFERROR(__xludf.DUMMYFUNCTION("""COMPUTED_VALUE"""),"いいえ")</f>
        <v>いいえ</v>
      </c>
      <c r="W31" s="261"/>
      <c r="X31" s="259" t="str">
        <f>IFERROR(__xludf.DUMMYFUNCTION("""COMPUTED_VALUE"""),"訳あって早期退職して第二の人生模索中‼️")</f>
        <v>訳あって早期退職して第二の人生模索中‼️</v>
      </c>
      <c r="Y31" s="262"/>
    </row>
    <row r="32">
      <c r="A32" s="248"/>
      <c r="B32" s="249">
        <f>IFERROR(__xludf.DUMMYFUNCTION("""COMPUTED_VALUE"""),35.0)</f>
        <v>35</v>
      </c>
      <c r="C32" s="249" t="str">
        <f>IFERROR(__xludf.DUMMYFUNCTION("""COMPUTED_VALUE"""),"C2")</f>
        <v>C2</v>
      </c>
      <c r="D32" s="249" t="str">
        <f>IFERROR(__xludf.DUMMYFUNCTION("""COMPUTED_VALUE"""),"セパハン")</f>
        <v>セパハン</v>
      </c>
      <c r="E32" s="250" t="str">
        <f>IFERROR(__xludf.DUMMYFUNCTION("""COMPUTED_VALUE"""),"モル")</f>
        <v>モル</v>
      </c>
      <c r="F32" s="263" t="str">
        <f>IFERROR(__xludf.DUMMYFUNCTION("""COMPUTED_VALUE"""),"参加")</f>
        <v>参加</v>
      </c>
      <c r="G32" s="263" t="str">
        <f>IFERROR(__xludf.DUMMYFUNCTION("""COMPUTED_VALUE"""),"-")</f>
        <v>-</v>
      </c>
      <c r="H32" s="263">
        <f>IFERROR(__xludf.DUMMYFUNCTION("""COMPUTED_VALUE"""),34.0)</f>
        <v>34</v>
      </c>
      <c r="I32" s="258">
        <f>IFERROR(__xludf.DUMMYFUNCTION("""COMPUTED_VALUE"""),45698.08499206019)</f>
        <v>45698.08499</v>
      </c>
      <c r="J32" s="259" t="str">
        <f>IFERROR(__xludf.DUMMYFUNCTION("""COMPUTED_VALUE"""),"はい")</f>
        <v>はい</v>
      </c>
      <c r="K32" s="259" t="str">
        <f>IFERROR(__xludf.DUMMYFUNCTION("""COMPUTED_VALUE"""),"小森　守")</f>
        <v>小森　守</v>
      </c>
      <c r="L32" s="259" t="str">
        <f>IFERROR(__xludf.DUMMYFUNCTION("""COMPUTED_VALUE"""),"モル")</f>
        <v>モル</v>
      </c>
      <c r="M32" s="259" t="str">
        <f>IFERROR(__xludf.DUMMYFUNCTION("""COMPUTED_VALUE"""),"選手名")</f>
        <v>選手名</v>
      </c>
      <c r="N32" s="259" t="str">
        <f>IFERROR(__xludf.DUMMYFUNCTION("""COMPUTED_VALUE"""),"YZF-R25")</f>
        <v>YZF-R25</v>
      </c>
      <c r="O32" s="259" t="str">
        <f>IFERROR(__xludf.DUMMYFUNCTION("""COMPUTED_VALUE"""),"青/白/黒")</f>
        <v>青/白/黒</v>
      </c>
      <c r="P32" s="259" t="str">
        <f>IFERROR(__xludf.DUMMYFUNCTION("""COMPUTED_VALUE"""),"C2級")</f>
        <v>C2級</v>
      </c>
      <c r="Q32" s="261"/>
      <c r="R32" s="261"/>
      <c r="S32" s="261"/>
      <c r="T32" s="261"/>
      <c r="U32" s="256" t="str">
        <f>IFERROR(__xludf.DUMMYFUNCTION("""COMPUTED_VALUE"""),"はい")</f>
        <v>はい</v>
      </c>
      <c r="V32" s="256" t="str">
        <f>IFERROR(__xludf.DUMMYFUNCTION("""COMPUTED_VALUE"""),"いいえ")</f>
        <v>いいえ</v>
      </c>
      <c r="W32" s="261"/>
      <c r="X32" s="259" t="str">
        <f>IFERROR(__xludf.DUMMYFUNCTION("""COMPUTED_VALUE"""),"関東セパハンズの矜持を見せるべく遠征します！セパハン最速を目指します。")</f>
        <v>関東セパハンズの矜持を見せるべく遠征します！セパハン最速を目指します。</v>
      </c>
      <c r="Y32" s="262"/>
    </row>
    <row r="33">
      <c r="A33" s="248"/>
      <c r="B33" s="249">
        <f>IFERROR(__xludf.DUMMYFUNCTION("""COMPUTED_VALUE"""),30.0)</f>
        <v>30</v>
      </c>
      <c r="C33" s="249" t="str">
        <f>IFERROR(__xludf.DUMMYFUNCTION("""COMPUTED_VALUE"""),"C2")</f>
        <v>C2</v>
      </c>
      <c r="D33" s="249" t="str">
        <f>IFERROR(__xludf.DUMMYFUNCTION("""COMPUTED_VALUE"""),"-")</f>
        <v>-</v>
      </c>
      <c r="E33" s="250" t="str">
        <f>IFERROR(__xludf.DUMMYFUNCTION("""COMPUTED_VALUE"""),"まる")</f>
        <v>まる</v>
      </c>
      <c r="F33" s="263" t="str">
        <f>IFERROR(__xludf.DUMMYFUNCTION("""COMPUTED_VALUE"""),"参加")</f>
        <v>参加</v>
      </c>
      <c r="G33" s="263" t="str">
        <f>IFERROR(__xludf.DUMMYFUNCTION("""COMPUTED_VALUE"""),"前半：マーシャル①")</f>
        <v>前半：マーシャル①</v>
      </c>
      <c r="H33" s="263">
        <f>IFERROR(__xludf.DUMMYFUNCTION("""COMPUTED_VALUE"""),29.0)</f>
        <v>29</v>
      </c>
      <c r="I33" s="258">
        <f>IFERROR(__xludf.DUMMYFUNCTION("""COMPUTED_VALUE"""),45698.28835590278)</f>
        <v>45698.28836</v>
      </c>
      <c r="J33" s="259" t="str">
        <f>IFERROR(__xludf.DUMMYFUNCTION("""COMPUTED_VALUE"""),"はい")</f>
        <v>はい</v>
      </c>
      <c r="K33" s="259" t="str">
        <f>IFERROR(__xludf.DUMMYFUNCTION("""COMPUTED_VALUE"""),"古田　務")</f>
        <v>古田　務</v>
      </c>
      <c r="L33" s="259" t="str">
        <f>IFERROR(__xludf.DUMMYFUNCTION("""COMPUTED_VALUE"""),"まる")</f>
        <v>まる</v>
      </c>
      <c r="M33" s="259" t="str">
        <f>IFERROR(__xludf.DUMMYFUNCTION("""COMPUTED_VALUE"""),"選手名")</f>
        <v>選手名</v>
      </c>
      <c r="N33" s="259" t="str">
        <f>IFERROR(__xludf.DUMMYFUNCTION("""COMPUTED_VALUE"""),"VTR")</f>
        <v>VTR</v>
      </c>
      <c r="O33" s="259" t="str">
        <f>IFERROR(__xludf.DUMMYFUNCTION("""COMPUTED_VALUE"""),"白/黄")</f>
        <v>白/黄</v>
      </c>
      <c r="P33" s="260" t="str">
        <f>IFERROR(__xludf.DUMMYFUNCTION("""COMPUTED_VALUE"""),"C2級")</f>
        <v>C2級</v>
      </c>
      <c r="Q33" s="261"/>
      <c r="R33" s="261"/>
      <c r="S33" s="261"/>
      <c r="T33" s="261"/>
      <c r="U33" s="256" t="str">
        <f>IFERROR(__xludf.DUMMYFUNCTION("""COMPUTED_VALUE"""),"いいえ")</f>
        <v>いいえ</v>
      </c>
      <c r="V33" s="256" t="str">
        <f>IFERROR(__xludf.DUMMYFUNCTION("""COMPUTED_VALUE"""),"いいえ")</f>
        <v>いいえ</v>
      </c>
      <c r="W33" s="261"/>
      <c r="X33" s="259" t="str">
        <f>IFERROR(__xludf.DUMMYFUNCTION("""COMPUTED_VALUE"""),"のんびりやってくょ～🎵")</f>
        <v>のんびりやってくょ～🎵</v>
      </c>
      <c r="Y33" s="262"/>
    </row>
    <row r="34">
      <c r="A34" s="248"/>
      <c r="B34" s="249">
        <f>IFERROR(__xludf.DUMMYFUNCTION("""COMPUTED_VALUE"""),7.0)</f>
        <v>7</v>
      </c>
      <c r="C34" s="249" t="str">
        <f>IFERROR(__xludf.DUMMYFUNCTION("""COMPUTED_VALUE"""),"D")</f>
        <v>D</v>
      </c>
      <c r="D34" s="249" t="str">
        <f>IFERROR(__xludf.DUMMYFUNCTION("""COMPUTED_VALUE"""),"セパハン")</f>
        <v>セパハン</v>
      </c>
      <c r="E34" s="250" t="str">
        <f>IFERROR(__xludf.DUMMYFUNCTION("""COMPUTED_VALUE"""),"ふじもん")</f>
        <v>ふじもん</v>
      </c>
      <c r="F34" s="263" t="str">
        <f>IFERROR(__xludf.DUMMYFUNCTION("""COMPUTED_VALUE"""),"参加")</f>
        <v>参加</v>
      </c>
      <c r="G34" s="263" t="str">
        <f>IFERROR(__xludf.DUMMYFUNCTION("""COMPUTED_VALUE"""),"後半：ウォームアップ誘導")</f>
        <v>後半：ウォームアップ誘導</v>
      </c>
      <c r="H34" s="263">
        <f>IFERROR(__xludf.DUMMYFUNCTION("""COMPUTED_VALUE"""),7.0)</f>
        <v>7</v>
      </c>
      <c r="I34" s="258">
        <f>IFERROR(__xludf.DUMMYFUNCTION("""COMPUTED_VALUE"""),45698.35709875)</f>
        <v>45698.3571</v>
      </c>
      <c r="J34" s="259" t="str">
        <f>IFERROR(__xludf.DUMMYFUNCTION("""COMPUTED_VALUE"""),"はい")</f>
        <v>はい</v>
      </c>
      <c r="K34" s="259" t="str">
        <f>IFERROR(__xludf.DUMMYFUNCTION("""COMPUTED_VALUE"""),"藤本 孝之")</f>
        <v>藤本 孝之</v>
      </c>
      <c r="L34" s="259" t="str">
        <f>IFERROR(__xludf.DUMMYFUNCTION("""COMPUTED_VALUE"""),"ふじもん")</f>
        <v>ふじもん</v>
      </c>
      <c r="M34" s="259" t="str">
        <f>IFERROR(__xludf.DUMMYFUNCTION("""COMPUTED_VALUE"""),"選手名")</f>
        <v>選手名</v>
      </c>
      <c r="N34" s="259" t="str">
        <f>IFERROR(__xludf.DUMMYFUNCTION("""COMPUTED_VALUE"""),"MR150")</f>
        <v>MR150</v>
      </c>
      <c r="O34" s="259" t="str">
        <f>IFERROR(__xludf.DUMMYFUNCTION("""COMPUTED_VALUE"""),"白")</f>
        <v>白</v>
      </c>
      <c r="P34" s="259" t="str">
        <f>IFERROR(__xludf.DUMMYFUNCTION("""COMPUTED_VALUE"""),"D級")</f>
        <v>D級</v>
      </c>
      <c r="Q34" s="261"/>
      <c r="R34" s="261"/>
      <c r="S34" s="261"/>
      <c r="T34" s="261"/>
      <c r="U34" s="256" t="str">
        <f>IFERROR(__xludf.DUMMYFUNCTION("""COMPUTED_VALUE"""),"はい")</f>
        <v>はい</v>
      </c>
      <c r="V34" s="256" t="str">
        <f>IFERROR(__xludf.DUMMYFUNCTION("""COMPUTED_VALUE"""),"いいえ")</f>
        <v>いいえ</v>
      </c>
      <c r="W34" s="261"/>
      <c r="X34" s="259" t="str">
        <f>IFERROR(__xludf.DUMMYFUNCTION("""COMPUTED_VALUE"""),"セパハンクラス優勝目指します！")</f>
        <v>セパハンクラス優勝目指します！</v>
      </c>
      <c r="Y34" s="262"/>
    </row>
    <row r="35">
      <c r="A35" s="248"/>
      <c r="B35" s="249">
        <f>IFERROR(__xludf.DUMMYFUNCTION("""COMPUTED_VALUE"""),39.0)</f>
        <v>39</v>
      </c>
      <c r="C35" s="249" t="str">
        <f>IFERROR(__xludf.DUMMYFUNCTION("""COMPUTED_VALUE"""),"C1")</f>
        <v>C1</v>
      </c>
      <c r="D35" s="249" t="str">
        <f>IFERROR(__xludf.DUMMYFUNCTION("""COMPUTED_VALUE"""),"-")</f>
        <v>-</v>
      </c>
      <c r="E35" s="250" t="str">
        <f>IFERROR(__xludf.DUMMYFUNCTION("""COMPUTED_VALUE"""),"もんじろう")</f>
        <v>もんじろう</v>
      </c>
      <c r="F35" s="263" t="str">
        <f>IFERROR(__xludf.DUMMYFUNCTION("""COMPUTED_VALUE"""),"参加")</f>
        <v>参加</v>
      </c>
      <c r="G35" s="263" t="str">
        <f>IFERROR(__xludf.DUMMYFUNCTION("""COMPUTED_VALUE"""),"-")</f>
        <v>-</v>
      </c>
      <c r="H35" s="263">
        <f>IFERROR(__xludf.DUMMYFUNCTION("""COMPUTED_VALUE"""),38.0)</f>
        <v>38</v>
      </c>
      <c r="I35" s="258">
        <f>IFERROR(__xludf.DUMMYFUNCTION("""COMPUTED_VALUE"""),45698.53132052084)</f>
        <v>45698.53132</v>
      </c>
      <c r="J35" s="259" t="str">
        <f>IFERROR(__xludf.DUMMYFUNCTION("""COMPUTED_VALUE"""),"はい")</f>
        <v>はい</v>
      </c>
      <c r="K35" s="259" t="str">
        <f>IFERROR(__xludf.DUMMYFUNCTION("""COMPUTED_VALUE"""),"渡邊　二朗")</f>
        <v>渡邊　二朗</v>
      </c>
      <c r="L35" s="259" t="str">
        <f>IFERROR(__xludf.DUMMYFUNCTION("""COMPUTED_VALUE"""),"もんじろう")</f>
        <v>もんじろう</v>
      </c>
      <c r="M35" s="260" t="str">
        <f>IFERROR(__xludf.DUMMYFUNCTION("""COMPUTED_VALUE"""),"選手名")</f>
        <v>選手名</v>
      </c>
      <c r="N35" s="259" t="str">
        <f>IFERROR(__xludf.DUMMYFUNCTION("""COMPUTED_VALUE"""),"WR450F")</f>
        <v>WR450F</v>
      </c>
      <c r="O35" s="259" t="str">
        <f>IFERROR(__xludf.DUMMYFUNCTION("""COMPUTED_VALUE"""),"青/白")</f>
        <v>青/白</v>
      </c>
      <c r="P35" s="259" t="str">
        <f>IFERROR(__xludf.DUMMYFUNCTION("""COMPUTED_VALUE"""),"C1級")</f>
        <v>C1級</v>
      </c>
      <c r="Q35" s="261"/>
      <c r="R35" s="261"/>
      <c r="S35" s="261"/>
      <c r="T35" s="261"/>
      <c r="U35" s="256" t="str">
        <f>IFERROR(__xludf.DUMMYFUNCTION("""COMPUTED_VALUE"""),"いいえ")</f>
        <v>いいえ</v>
      </c>
      <c r="V35" s="256" t="str">
        <f>IFERROR(__xludf.DUMMYFUNCTION("""COMPUTED_VALUE"""),"いいえ")</f>
        <v>いいえ</v>
      </c>
      <c r="W35" s="261"/>
      <c r="X35" s="259" t="str">
        <f>IFERROR(__xludf.DUMMYFUNCTION("""COMPUTED_VALUE"""),"完走してしっかり記録を残したいです")</f>
        <v>完走してしっかり記録を残したいです</v>
      </c>
      <c r="Y35" s="262"/>
    </row>
    <row r="36">
      <c r="A36" s="248"/>
      <c r="B36" s="249">
        <f>IFERROR(__xludf.DUMMYFUNCTION("""COMPUTED_VALUE"""),44.0)</f>
        <v>44</v>
      </c>
      <c r="C36" s="249" t="str">
        <f>IFERROR(__xludf.DUMMYFUNCTION("""COMPUTED_VALUE"""),"C1")</f>
        <v>C1</v>
      </c>
      <c r="D36" s="249" t="str">
        <f>IFERROR(__xludf.DUMMYFUNCTION("""COMPUTED_VALUE"""),"-")</f>
        <v>-</v>
      </c>
      <c r="E36" s="250" t="str">
        <f>IFERROR(__xludf.DUMMYFUNCTION("""COMPUTED_VALUE"""),"TOKICO")</f>
        <v>TOKICO</v>
      </c>
      <c r="F36" s="263" t="str">
        <f>IFERROR(__xludf.DUMMYFUNCTION("""COMPUTED_VALUE"""),"参加")</f>
        <v>参加</v>
      </c>
      <c r="G36" s="263" t="str">
        <f>IFERROR(__xludf.DUMMYFUNCTION("""COMPUTED_VALUE"""),"前半：カメラ①")</f>
        <v>前半：カメラ①</v>
      </c>
      <c r="H36" s="263">
        <f>IFERROR(__xludf.DUMMYFUNCTION("""COMPUTED_VALUE"""),43.0)</f>
        <v>43</v>
      </c>
      <c r="I36" s="258">
        <f>IFERROR(__xludf.DUMMYFUNCTION("""COMPUTED_VALUE"""),45699.90016653935)</f>
        <v>45699.90017</v>
      </c>
      <c r="J36" s="259" t="str">
        <f>IFERROR(__xludf.DUMMYFUNCTION("""COMPUTED_VALUE"""),"はい")</f>
        <v>はい</v>
      </c>
      <c r="K36" s="259" t="str">
        <f>IFERROR(__xludf.DUMMYFUNCTION("""COMPUTED_VALUE"""),"鈴木登紀子")</f>
        <v>鈴木登紀子</v>
      </c>
      <c r="L36" s="259" t="str">
        <f>IFERROR(__xludf.DUMMYFUNCTION("""COMPUTED_VALUE"""),"TOKICO")</f>
        <v>TOKICO</v>
      </c>
      <c r="M36" s="259" t="str">
        <f>IFERROR(__xludf.DUMMYFUNCTION("""COMPUTED_VALUE"""),"選手名")</f>
        <v>選手名</v>
      </c>
      <c r="N36" s="259" t="str">
        <f>IFERROR(__xludf.DUMMYFUNCTION("""COMPUTED_VALUE"""),"GSX-R1000")</f>
        <v>GSX-R1000</v>
      </c>
      <c r="O36" s="259" t="str">
        <f>IFERROR(__xludf.DUMMYFUNCTION("""COMPUTED_VALUE"""),"白/青")</f>
        <v>白/青</v>
      </c>
      <c r="P36" s="260" t="str">
        <f>IFERROR(__xludf.DUMMYFUNCTION("""COMPUTED_VALUE"""),"C1級")</f>
        <v>C1級</v>
      </c>
      <c r="Q36" s="261"/>
      <c r="R36" s="261"/>
      <c r="S36" s="261"/>
      <c r="T36" s="261"/>
      <c r="U36" s="256" t="str">
        <f>IFERROR(__xludf.DUMMYFUNCTION("""COMPUTED_VALUE"""),"いいえ")</f>
        <v>いいえ</v>
      </c>
      <c r="V36" s="256" t="str">
        <f>IFERROR(__xludf.DUMMYFUNCTION("""COMPUTED_VALUE"""),"いいえ")</f>
        <v>いいえ</v>
      </c>
      <c r="W36" s="261"/>
      <c r="X36" s="259" t="str">
        <f>IFERROR(__xludf.DUMMYFUNCTION("""COMPUTED_VALUE"""),"今年初大会がんばります！")</f>
        <v>今年初大会がんばります！</v>
      </c>
      <c r="Y36" s="262"/>
    </row>
    <row r="37">
      <c r="A37" s="248"/>
      <c r="B37" s="249">
        <f>IFERROR(__xludf.DUMMYFUNCTION("""COMPUTED_VALUE"""),53.0)</f>
        <v>53</v>
      </c>
      <c r="C37" s="249" t="str">
        <f>IFERROR(__xludf.DUMMYFUNCTION("""COMPUTED_VALUE"""),"A")</f>
        <v>A</v>
      </c>
      <c r="D37" s="249" t="str">
        <f>IFERROR(__xludf.DUMMYFUNCTION("""COMPUTED_VALUE"""),"-")</f>
        <v>-</v>
      </c>
      <c r="E37" s="250" t="str">
        <f>IFERROR(__xludf.DUMMYFUNCTION("""COMPUTED_VALUE"""),"ray")</f>
        <v>ray</v>
      </c>
      <c r="F37" s="263" t="str">
        <f>IFERROR(__xludf.DUMMYFUNCTION("""COMPUTED_VALUE"""),"参加")</f>
        <v>参加</v>
      </c>
      <c r="G37" s="263" t="str">
        <f>IFERROR(__xludf.DUMMYFUNCTION("""COMPUTED_VALUE"""),"-")</f>
        <v>-</v>
      </c>
      <c r="H37" s="263">
        <f>IFERROR(__xludf.DUMMYFUNCTION("""COMPUTED_VALUE"""),52.0)</f>
        <v>52</v>
      </c>
      <c r="I37" s="258">
        <f>IFERROR(__xludf.DUMMYFUNCTION("""COMPUTED_VALUE"""),45700.0971072338)</f>
        <v>45700.09711</v>
      </c>
      <c r="J37" s="259" t="str">
        <f>IFERROR(__xludf.DUMMYFUNCTION("""COMPUTED_VALUE"""),"はい")</f>
        <v>はい</v>
      </c>
      <c r="K37" s="259" t="str">
        <f>IFERROR(__xludf.DUMMYFUNCTION("""COMPUTED_VALUE"""),"濱田　令")</f>
        <v>濱田　令</v>
      </c>
      <c r="L37" s="259" t="str">
        <f>IFERROR(__xludf.DUMMYFUNCTION("""COMPUTED_VALUE"""),"ray")</f>
        <v>ray</v>
      </c>
      <c r="M37" s="259" t="str">
        <f>IFERROR(__xludf.DUMMYFUNCTION("""COMPUTED_VALUE"""),"選手名")</f>
        <v>選手名</v>
      </c>
      <c r="N37" s="259" t="str">
        <f>IFERROR(__xludf.DUMMYFUNCTION("""COMPUTED_VALUE"""),"YZ250X")</f>
        <v>YZ250X</v>
      </c>
      <c r="O37" s="259" t="str">
        <f>IFERROR(__xludf.DUMMYFUNCTION("""COMPUTED_VALUE"""),"緑")</f>
        <v>緑</v>
      </c>
      <c r="P37" s="259" t="str">
        <f>IFERROR(__xludf.DUMMYFUNCTION("""COMPUTED_VALUE"""),"A級")</f>
        <v>A級</v>
      </c>
      <c r="Q37" s="261"/>
      <c r="R37" s="261"/>
      <c r="S37" s="261"/>
      <c r="T37" s="261"/>
      <c r="U37" s="256" t="str">
        <f>IFERROR(__xludf.DUMMYFUNCTION("""COMPUTED_VALUE"""),"いいえ")</f>
        <v>いいえ</v>
      </c>
      <c r="V37" s="256" t="str">
        <f>IFERROR(__xludf.DUMMYFUNCTION("""COMPUTED_VALUE"""),"いいえ")</f>
        <v>いいえ</v>
      </c>
      <c r="W37" s="261"/>
      <c r="X37" s="259" t="str">
        <f>IFERROR(__xludf.DUMMYFUNCTION("""COMPUTED_VALUE"""),"モトジムカーナチャレンジカップ初戦は4月27日埼玉スタジアム！
中部のみんな遠征しようぜ！")</f>
        <v>モトジムカーナチャレンジカップ初戦は4月27日埼玉スタジアム！
中部のみんな遠征しようぜ！</v>
      </c>
      <c r="Y37" s="262"/>
    </row>
    <row r="38">
      <c r="A38" s="248"/>
      <c r="B38" s="249">
        <f>IFERROR(__xludf.DUMMYFUNCTION("""COMPUTED_VALUE"""),22.0)</f>
        <v>22</v>
      </c>
      <c r="C38" s="249" t="str">
        <f>IFERROR(__xludf.DUMMYFUNCTION("""COMPUTED_VALUE"""),"N")</f>
        <v>N</v>
      </c>
      <c r="D38" s="249" t="str">
        <f>IFERROR(__xludf.DUMMYFUNCTION("""COMPUTED_VALUE"""),"-")</f>
        <v>-</v>
      </c>
      <c r="E38" s="250" t="str">
        <f>IFERROR(__xludf.DUMMYFUNCTION("""COMPUTED_VALUE"""),"まる")</f>
        <v>まる</v>
      </c>
      <c r="F38" s="263" t="str">
        <f>IFERROR(__xludf.DUMMYFUNCTION("""COMPUTED_VALUE"""),"参加")</f>
        <v>参加</v>
      </c>
      <c r="G38" s="263" t="str">
        <f>IFERROR(__xludf.DUMMYFUNCTION("""COMPUTED_VALUE"""),"前半：マーシャル2")</f>
        <v>前半：マーシャル2</v>
      </c>
      <c r="H38" s="263">
        <f>IFERROR(__xludf.DUMMYFUNCTION("""COMPUTED_VALUE"""),22.0)</f>
        <v>22</v>
      </c>
      <c r="I38" s="258">
        <f>IFERROR(__xludf.DUMMYFUNCTION("""COMPUTED_VALUE"""),45700.984565624996)</f>
        <v>45700.98457</v>
      </c>
      <c r="J38" s="259" t="str">
        <f>IFERROR(__xludf.DUMMYFUNCTION("""COMPUTED_VALUE"""),"はい")</f>
        <v>はい</v>
      </c>
      <c r="K38" s="259" t="str">
        <f>IFERROR(__xludf.DUMMYFUNCTION("""COMPUTED_VALUE"""),"渡邊幸夫")</f>
        <v>渡邊幸夫</v>
      </c>
      <c r="L38" s="259" t="str">
        <f>IFERROR(__xludf.DUMMYFUNCTION("""COMPUTED_VALUE"""),"まる")</f>
        <v>まる</v>
      </c>
      <c r="M38" s="259" t="str">
        <f>IFERROR(__xludf.DUMMYFUNCTION("""COMPUTED_VALUE"""),"選手名")</f>
        <v>選手名</v>
      </c>
      <c r="N38" s="259" t="str">
        <f>IFERROR(__xludf.DUMMYFUNCTION("""COMPUTED_VALUE"""),"MT-09")</f>
        <v>MT-09</v>
      </c>
      <c r="O38" s="259" t="str">
        <f>IFERROR(__xludf.DUMMYFUNCTION("""COMPUTED_VALUE"""),"シルバー")</f>
        <v>シルバー</v>
      </c>
      <c r="P38" s="260" t="str">
        <f>IFERROR(__xludf.DUMMYFUNCTION("""COMPUTED_VALUE"""),"N級")</f>
        <v>N級</v>
      </c>
      <c r="Q38" s="261"/>
      <c r="R38" s="261"/>
      <c r="S38" s="261"/>
      <c r="T38" s="261"/>
      <c r="U38" s="256" t="str">
        <f>IFERROR(__xludf.DUMMYFUNCTION("""COMPUTED_VALUE"""),"いいえ")</f>
        <v>いいえ</v>
      </c>
      <c r="V38" s="256" t="str">
        <f>IFERROR(__xludf.DUMMYFUNCTION("""COMPUTED_VALUE"""),"いいえ")</f>
        <v>いいえ</v>
      </c>
      <c r="W38" s="261"/>
      <c r="X38" s="259" t="str">
        <f>IFERROR(__xludf.DUMMYFUNCTION("""COMPUTED_VALUE"""),"旋回頑張って120%切りたい！")</f>
        <v>旋回頑張って120%切りたい！</v>
      </c>
      <c r="Y38" s="262"/>
    </row>
    <row r="39">
      <c r="A39" s="248"/>
      <c r="B39" s="249">
        <f>IFERROR(__xludf.DUMMYFUNCTION("""COMPUTED_VALUE"""),21.0)</f>
        <v>21</v>
      </c>
      <c r="C39" s="249" t="str">
        <f>IFERROR(__xludf.DUMMYFUNCTION("""COMPUTED_VALUE"""),"N")</f>
        <v>N</v>
      </c>
      <c r="D39" s="249" t="str">
        <f>IFERROR(__xludf.DUMMYFUNCTION("""COMPUTED_VALUE"""),"セパハン")</f>
        <v>セパハン</v>
      </c>
      <c r="E39" s="250" t="str">
        <f>IFERROR(__xludf.DUMMYFUNCTION("""COMPUTED_VALUE"""),"EK9")</f>
        <v>EK9</v>
      </c>
      <c r="F39" s="263" t="str">
        <f>IFERROR(__xludf.DUMMYFUNCTION("""COMPUTED_VALUE"""),"参加")</f>
        <v>参加</v>
      </c>
      <c r="G39" s="263" t="str">
        <f>IFERROR(__xludf.DUMMYFUNCTION("""COMPUTED_VALUE"""),"後半：タイム記録")</f>
        <v>後半：タイム記録</v>
      </c>
      <c r="H39" s="263">
        <f>IFERROR(__xludf.DUMMYFUNCTION("""COMPUTED_VALUE"""),21.0)</f>
        <v>21</v>
      </c>
      <c r="I39" s="258">
        <f>IFERROR(__xludf.DUMMYFUNCTION("""COMPUTED_VALUE"""),45701.93589059028)</f>
        <v>45701.93589</v>
      </c>
      <c r="J39" s="259" t="str">
        <f>IFERROR(__xludf.DUMMYFUNCTION("""COMPUTED_VALUE"""),"はい")</f>
        <v>はい</v>
      </c>
      <c r="K39" s="259" t="str">
        <f>IFERROR(__xludf.DUMMYFUNCTION("""COMPUTED_VALUE"""),"藤田　大")</f>
        <v>藤田　大</v>
      </c>
      <c r="L39" s="259" t="str">
        <f>IFERROR(__xludf.DUMMYFUNCTION("""COMPUTED_VALUE"""),"EK9")</f>
        <v>EK9</v>
      </c>
      <c r="M39" s="259" t="str">
        <f>IFERROR(__xludf.DUMMYFUNCTION("""COMPUTED_VALUE"""),"選手名")</f>
        <v>選手名</v>
      </c>
      <c r="N39" s="259" t="str">
        <f>IFERROR(__xludf.DUMMYFUNCTION("""COMPUTED_VALUE"""),"NSR250")</f>
        <v>NSR250</v>
      </c>
      <c r="O39" s="259" t="str">
        <f>IFERROR(__xludf.DUMMYFUNCTION("""COMPUTED_VALUE"""),"赤/白")</f>
        <v>赤/白</v>
      </c>
      <c r="P39" s="259" t="str">
        <f>IFERROR(__xludf.DUMMYFUNCTION("""COMPUTED_VALUE"""),"N級")</f>
        <v>N級</v>
      </c>
      <c r="Q39" s="261"/>
      <c r="R39" s="261"/>
      <c r="S39" s="261"/>
      <c r="T39" s="261"/>
      <c r="U39" s="256" t="str">
        <f>IFERROR(__xludf.DUMMYFUNCTION("""COMPUTED_VALUE"""),"はい")</f>
        <v>はい</v>
      </c>
      <c r="V39" s="256" t="str">
        <f>IFERROR(__xludf.DUMMYFUNCTION("""COMPUTED_VALUE"""),"いいえ")</f>
        <v>いいえ</v>
      </c>
      <c r="W39" s="261"/>
      <c r="X39" s="259" t="str">
        <f>IFERROR(__xludf.DUMMYFUNCTION("""COMPUTED_VALUE"""),"昨日までの自分より、少しでも速く！…なれるよう頑張る！")</f>
        <v>昨日までの自分より、少しでも速く！…なれるよう頑張る！</v>
      </c>
      <c r="Y39" s="262"/>
    </row>
    <row r="40">
      <c r="A40" s="248"/>
      <c r="B40" s="249">
        <f>IFERROR(__xludf.DUMMYFUNCTION("""COMPUTED_VALUE"""),8.0)</f>
        <v>8</v>
      </c>
      <c r="C40" s="249" t="str">
        <f>IFERROR(__xludf.DUMMYFUNCTION("""COMPUTED_VALUE"""),"D")</f>
        <v>D</v>
      </c>
      <c r="D40" s="249" t="str">
        <f>IFERROR(__xludf.DUMMYFUNCTION("""COMPUTED_VALUE"""),"-")</f>
        <v>-</v>
      </c>
      <c r="E40" s="250" t="str">
        <f>IFERROR(__xludf.DUMMYFUNCTION("""COMPUTED_VALUE"""),"たま")</f>
        <v>たま</v>
      </c>
      <c r="F40" s="263" t="str">
        <f>IFERROR(__xludf.DUMMYFUNCTION("""COMPUTED_VALUE"""),"参加")</f>
        <v>参加</v>
      </c>
      <c r="G40" s="263" t="str">
        <f>IFERROR(__xludf.DUMMYFUNCTION("""COMPUTED_VALUE"""),"後半：ウォームアップ補助")</f>
        <v>後半：ウォームアップ補助</v>
      </c>
      <c r="H40" s="263">
        <f>IFERROR(__xludf.DUMMYFUNCTION("""COMPUTED_VALUE"""),8.0)</f>
        <v>8</v>
      </c>
      <c r="I40" s="258">
        <f>IFERROR(__xludf.DUMMYFUNCTION("""COMPUTED_VALUE"""),45714.725043865736)</f>
        <v>45714.72504</v>
      </c>
      <c r="J40" s="259" t="str">
        <f>IFERROR(__xludf.DUMMYFUNCTION("""COMPUTED_VALUE"""),"はい")</f>
        <v>はい</v>
      </c>
      <c r="K40" s="259" t="str">
        <f>IFERROR(__xludf.DUMMYFUNCTION("""COMPUTED_VALUE"""),"玉井　弘幸")</f>
        <v>玉井　弘幸</v>
      </c>
      <c r="L40" s="259" t="str">
        <f>IFERROR(__xludf.DUMMYFUNCTION("""COMPUTED_VALUE"""),"たま")</f>
        <v>たま</v>
      </c>
      <c r="M40" s="259" t="str">
        <f>IFERROR(__xludf.DUMMYFUNCTION("""COMPUTED_VALUE"""),"選手名")</f>
        <v>選手名</v>
      </c>
      <c r="N40" s="259" t="str">
        <f>IFERROR(__xludf.DUMMYFUNCTION("""COMPUTED_VALUE"""),"GSX-S1000")</f>
        <v>GSX-S1000</v>
      </c>
      <c r="O40" s="259" t="str">
        <f>IFERROR(__xludf.DUMMYFUNCTION("""COMPUTED_VALUE"""),"青")</f>
        <v>青</v>
      </c>
      <c r="P40" s="260" t="str">
        <f>IFERROR(__xludf.DUMMYFUNCTION("""COMPUTED_VALUE"""),"D級")</f>
        <v>D級</v>
      </c>
      <c r="Q40" s="261"/>
      <c r="R40" s="261"/>
      <c r="S40" s="261"/>
      <c r="T40" s="261"/>
      <c r="U40" s="256" t="str">
        <f>IFERROR(__xludf.DUMMYFUNCTION("""COMPUTED_VALUE"""),"いいえ")</f>
        <v>いいえ</v>
      </c>
      <c r="V40" s="256" t="str">
        <f>IFERROR(__xludf.DUMMYFUNCTION("""COMPUTED_VALUE"""),"いいえ")</f>
        <v>いいえ</v>
      </c>
      <c r="W40" s="261"/>
      <c r="X40" s="259" t="str">
        <f>IFERROR(__xludf.DUMMYFUNCTION("""COMPUTED_VALUE"""),"ここ最近は大会のたびに転倒しているので、転倒してケガしないように頑張ります。")</f>
        <v>ここ最近は大会のたびに転倒しているので、転倒してケガしないように頑張ります。</v>
      </c>
      <c r="Y40" s="262"/>
    </row>
    <row r="41">
      <c r="A41" s="248"/>
      <c r="B41" s="249">
        <f>IFERROR(__xludf.DUMMYFUNCTION("""COMPUTED_VALUE"""),23.0)</f>
        <v>23</v>
      </c>
      <c r="C41" s="249" t="str">
        <f>IFERROR(__xludf.DUMMYFUNCTION("""COMPUTED_VALUE"""),"N")</f>
        <v>N</v>
      </c>
      <c r="D41" s="249" t="str">
        <f>IFERROR(__xludf.DUMMYFUNCTION("""COMPUTED_VALUE"""),"ミニ")</f>
        <v>ミニ</v>
      </c>
      <c r="E41" s="250" t="str">
        <f>IFERROR(__xludf.DUMMYFUNCTION("""COMPUTED_VALUE"""),"むねー")</f>
        <v>むねー</v>
      </c>
      <c r="F41" s="263" t="str">
        <f>IFERROR(__xludf.DUMMYFUNCTION("""COMPUTED_VALUE"""),"参加")</f>
        <v>参加</v>
      </c>
      <c r="G41" s="263" t="str">
        <f>IFERROR(__xludf.DUMMYFUNCTION("""COMPUTED_VALUE"""),"-")</f>
        <v>-</v>
      </c>
      <c r="H41" s="263">
        <f>IFERROR(__xludf.DUMMYFUNCTION("""COMPUTED_VALUE"""),23.0)</f>
        <v>23</v>
      </c>
      <c r="I41" s="258">
        <f>IFERROR(__xludf.DUMMYFUNCTION("""COMPUTED_VALUE"""),45714.82399916666)</f>
        <v>45714.824</v>
      </c>
      <c r="J41" s="259" t="str">
        <f>IFERROR(__xludf.DUMMYFUNCTION("""COMPUTED_VALUE"""),"はい")</f>
        <v>はい</v>
      </c>
      <c r="K41" s="259" t="str">
        <f>IFERROR(__xludf.DUMMYFUNCTION("""COMPUTED_VALUE"""),"奥村宗敏")</f>
        <v>奥村宗敏</v>
      </c>
      <c r="L41" s="259" t="str">
        <f>IFERROR(__xludf.DUMMYFUNCTION("""COMPUTED_VALUE"""),"むねー")</f>
        <v>むねー</v>
      </c>
      <c r="M41" s="259" t="str">
        <f>IFERROR(__xludf.DUMMYFUNCTION("""COMPUTED_VALUE"""),"選手名")</f>
        <v>選手名</v>
      </c>
      <c r="N41" s="259" t="str">
        <f>IFERROR(__xludf.DUMMYFUNCTION("""COMPUTED_VALUE"""),"GROM")</f>
        <v>GROM</v>
      </c>
      <c r="O41" s="259" t="str">
        <f>IFERROR(__xludf.DUMMYFUNCTION("""COMPUTED_VALUE"""),"白")</f>
        <v>白</v>
      </c>
      <c r="P41" s="260" t="str">
        <f>IFERROR(__xludf.DUMMYFUNCTION("""COMPUTED_VALUE"""),"N級")</f>
        <v>N級</v>
      </c>
      <c r="Q41" s="261"/>
      <c r="R41" s="261"/>
      <c r="S41" s="261"/>
      <c r="T41" s="261"/>
      <c r="U41" s="256" t="str">
        <f>IFERROR(__xludf.DUMMYFUNCTION("""COMPUTED_VALUE"""),"いいえ")</f>
        <v>いいえ</v>
      </c>
      <c r="V41" s="256" t="str">
        <f>IFERROR(__xludf.DUMMYFUNCTION("""COMPUTED_VALUE"""),"はい")</f>
        <v>はい</v>
      </c>
      <c r="W41" s="261"/>
      <c r="X41" s="259" t="str">
        <f>IFERROR(__xludf.DUMMYFUNCTION("""COMPUTED_VALUE"""),"去年20数年ぶりにリターンしました。")</f>
        <v>去年20数年ぶりにリターンしました。</v>
      </c>
      <c r="Y41" s="262"/>
    </row>
    <row r="42">
      <c r="A42" s="248"/>
      <c r="B42" s="249">
        <f>IFERROR(__xludf.DUMMYFUNCTION("""COMPUTED_VALUE"""),6.0)</f>
        <v>6</v>
      </c>
      <c r="C42" s="249" t="str">
        <f>IFERROR(__xludf.DUMMYFUNCTION("""COMPUTED_VALUE"""),"D")</f>
        <v>D</v>
      </c>
      <c r="D42" s="249" t="str">
        <f>IFERROR(__xludf.DUMMYFUNCTION("""COMPUTED_VALUE"""),"-")</f>
        <v>-</v>
      </c>
      <c r="E42" s="250" t="str">
        <f>IFERROR(__xludf.DUMMYFUNCTION("""COMPUTED_VALUE"""),"ひさぽん")</f>
        <v>ひさぽん</v>
      </c>
      <c r="F42" s="263" t="str">
        <f>IFERROR(__xludf.DUMMYFUNCTION("""COMPUTED_VALUE"""),"参加")</f>
        <v>参加</v>
      </c>
      <c r="G42" s="263" t="str">
        <f>IFERROR(__xludf.DUMMYFUNCTION("""COMPUTED_VALUE"""),"後半：マーシャル①")</f>
        <v>後半：マーシャル①</v>
      </c>
      <c r="H42" s="263">
        <f>IFERROR(__xludf.DUMMYFUNCTION("""COMPUTED_VALUE"""),6.0)</f>
        <v>6</v>
      </c>
      <c r="I42" s="258">
        <f>IFERROR(__xludf.DUMMYFUNCTION("""COMPUTED_VALUE"""),45714.82514739584)</f>
        <v>45714.82515</v>
      </c>
      <c r="J42" s="259" t="str">
        <f>IFERROR(__xludf.DUMMYFUNCTION("""COMPUTED_VALUE"""),"はい")</f>
        <v>はい</v>
      </c>
      <c r="K42" s="259" t="str">
        <f>IFERROR(__xludf.DUMMYFUNCTION("""COMPUTED_VALUE"""),"橋本久志")</f>
        <v>橋本久志</v>
      </c>
      <c r="L42" s="259" t="str">
        <f>IFERROR(__xludf.DUMMYFUNCTION("""COMPUTED_VALUE"""),"ひさぽん")</f>
        <v>ひさぽん</v>
      </c>
      <c r="M42" s="259" t="str">
        <f>IFERROR(__xludf.DUMMYFUNCTION("""COMPUTED_VALUE"""),"選手名")</f>
        <v>選手名</v>
      </c>
      <c r="N42" s="259" t="str">
        <f>IFERROR(__xludf.DUMMYFUNCTION("""COMPUTED_VALUE"""),"NSR50改")</f>
        <v>NSR50改</v>
      </c>
      <c r="O42" s="259" t="str">
        <f>IFERROR(__xludf.DUMMYFUNCTION("""COMPUTED_VALUE"""),"ブルーグレイ")</f>
        <v>ブルーグレイ</v>
      </c>
      <c r="P42" s="259" t="str">
        <f>IFERROR(__xludf.DUMMYFUNCTION("""COMPUTED_VALUE"""),"D級")</f>
        <v>D級</v>
      </c>
      <c r="Q42" s="261"/>
      <c r="R42" s="261"/>
      <c r="S42" s="261"/>
      <c r="T42" s="261"/>
      <c r="U42" s="256" t="str">
        <f>IFERROR(__xludf.DUMMYFUNCTION("""COMPUTED_VALUE"""),"いいえ")</f>
        <v>いいえ</v>
      </c>
      <c r="V42" s="256" t="str">
        <f>IFERROR(__xludf.DUMMYFUNCTION("""COMPUTED_VALUE"""),"いいえ")</f>
        <v>いいえ</v>
      </c>
      <c r="W42" s="261"/>
      <c r="X42" s="259" t="str">
        <f>IFERROR(__xludf.DUMMYFUNCTION("""COMPUTED_VALUE"""),"２月１回もバイク乗れてません、一生仕事してました")</f>
        <v>２月１回もバイク乗れてません、一生仕事してました</v>
      </c>
      <c r="Y42" s="262"/>
    </row>
    <row r="43">
      <c r="A43" s="248"/>
      <c r="B43" s="249">
        <f>IFERROR(__xludf.DUMMYFUNCTION("""COMPUTED_VALUE"""),16.0)</f>
        <v>16</v>
      </c>
      <c r="C43" s="249" t="str">
        <f>IFERROR(__xludf.DUMMYFUNCTION("""COMPUTED_VALUE"""),"R")</f>
        <v>R</v>
      </c>
      <c r="D43" s="249" t="str">
        <f>IFERROR(__xludf.DUMMYFUNCTION("""COMPUTED_VALUE"""),"セパハン")</f>
        <v>セパハン</v>
      </c>
      <c r="E43" s="250" t="str">
        <f>IFERROR(__xludf.DUMMYFUNCTION("""COMPUTED_VALUE"""),"ホッシー")</f>
        <v>ホッシー</v>
      </c>
      <c r="F43" s="263" t="str">
        <f>IFERROR(__xludf.DUMMYFUNCTION("""COMPUTED_VALUE"""),"参加")</f>
        <v>参加</v>
      </c>
      <c r="G43" s="263" t="str">
        <f>IFERROR(__xludf.DUMMYFUNCTION("""COMPUTED_VALUE"""),"後半：スターター＆記録")</f>
        <v>後半：スターター＆記録</v>
      </c>
      <c r="H43" s="263">
        <f>IFERROR(__xludf.DUMMYFUNCTION("""COMPUTED_VALUE"""),16.0)</f>
        <v>16</v>
      </c>
      <c r="I43" s="258">
        <f>IFERROR(__xludf.DUMMYFUNCTION("""COMPUTED_VALUE"""),45714.84920704861)</f>
        <v>45714.84921</v>
      </c>
      <c r="J43" s="259" t="str">
        <f>IFERROR(__xludf.DUMMYFUNCTION("""COMPUTED_VALUE"""),"はい")</f>
        <v>はい</v>
      </c>
      <c r="K43" s="259" t="str">
        <f>IFERROR(__xludf.DUMMYFUNCTION("""COMPUTED_VALUE"""),"星　陽一郎")</f>
        <v>星　陽一郎</v>
      </c>
      <c r="L43" s="259" t="str">
        <f>IFERROR(__xludf.DUMMYFUNCTION("""COMPUTED_VALUE"""),"ホッシー")</f>
        <v>ホッシー</v>
      </c>
      <c r="M43" s="259" t="str">
        <f>IFERROR(__xludf.DUMMYFUNCTION("""COMPUTED_VALUE"""),"選手名")</f>
        <v>選手名</v>
      </c>
      <c r="N43" s="259" t="str">
        <f>IFERROR(__xludf.DUMMYFUNCTION("""COMPUTED_VALUE"""),"Ninja250")</f>
        <v>Ninja250</v>
      </c>
      <c r="O43" s="259" t="str">
        <f>IFERROR(__xludf.DUMMYFUNCTION("""COMPUTED_VALUE"""),"青/黒")</f>
        <v>青/黒</v>
      </c>
      <c r="P43" s="260" t="str">
        <f>IFERROR(__xludf.DUMMYFUNCTION("""COMPUTED_VALUE"""),"R級")</f>
        <v>R級</v>
      </c>
      <c r="Q43" s="261"/>
      <c r="R43" s="261"/>
      <c r="S43" s="261"/>
      <c r="T43" s="261"/>
      <c r="U43" s="256" t="str">
        <f>IFERROR(__xludf.DUMMYFUNCTION("""COMPUTED_VALUE"""),"はい")</f>
        <v>はい</v>
      </c>
      <c r="V43" s="256" t="str">
        <f>IFERROR(__xludf.DUMMYFUNCTION("""COMPUTED_VALUE"""),"いいえ")</f>
        <v>いいえ</v>
      </c>
      <c r="W43" s="261"/>
      <c r="X43" s="259" t="str">
        <f>IFERROR(__xludf.DUMMYFUNCTION("""COMPUTED_VALUE"""),"この大会に向けてタイヤとブレーキパッドを新品交換。雪のせいで全然乗れてませんが頑張ります。")</f>
        <v>この大会に向けてタイヤとブレーキパッドを新品交換。雪のせいで全然乗れてませんが頑張ります。</v>
      </c>
      <c r="Y43" s="262"/>
    </row>
    <row r="44">
      <c r="A44" s="248"/>
      <c r="B44" s="249">
        <f>IFERROR(__xludf.DUMMYFUNCTION("""COMPUTED_VALUE"""),10.0)</f>
        <v>10</v>
      </c>
      <c r="C44" s="249" t="str">
        <f>IFERROR(__xludf.DUMMYFUNCTION("""COMPUTED_VALUE"""),"D")</f>
        <v>D</v>
      </c>
      <c r="D44" s="249" t="str">
        <f>IFERROR(__xludf.DUMMYFUNCTION("""COMPUTED_VALUE"""),"-")</f>
        <v>-</v>
      </c>
      <c r="E44" s="250" t="str">
        <f>IFERROR(__xludf.DUMMYFUNCTION("""COMPUTED_VALUE"""),"SIGE2878")</f>
        <v>SIGE2878</v>
      </c>
      <c r="F44" s="263" t="str">
        <f>IFERROR(__xludf.DUMMYFUNCTION("""COMPUTED_VALUE"""),"参加")</f>
        <v>参加</v>
      </c>
      <c r="G44" s="263" t="str">
        <f>IFERROR(__xludf.DUMMYFUNCTION("""COMPUTED_VALUE"""),"後半：マーシャル③")</f>
        <v>後半：マーシャル③</v>
      </c>
      <c r="H44" s="263">
        <f>IFERROR(__xludf.DUMMYFUNCTION("""COMPUTED_VALUE"""),10.0)</f>
        <v>10</v>
      </c>
      <c r="I44" s="258">
        <f>IFERROR(__xludf.DUMMYFUNCTION("""COMPUTED_VALUE"""),45714.852083819445)</f>
        <v>45714.85208</v>
      </c>
      <c r="J44" s="259" t="str">
        <f>IFERROR(__xludf.DUMMYFUNCTION("""COMPUTED_VALUE"""),"はい")</f>
        <v>はい</v>
      </c>
      <c r="K44" s="259" t="str">
        <f>IFERROR(__xludf.DUMMYFUNCTION("""COMPUTED_VALUE"""),"川村　茂")</f>
        <v>川村　茂</v>
      </c>
      <c r="L44" s="259" t="str">
        <f>IFERROR(__xludf.DUMMYFUNCTION("""COMPUTED_VALUE"""),"SIGE2878")</f>
        <v>SIGE2878</v>
      </c>
      <c r="M44" s="260" t="str">
        <f>IFERROR(__xludf.DUMMYFUNCTION("""COMPUTED_VALUE"""),"選手名")</f>
        <v>選手名</v>
      </c>
      <c r="N44" s="259" t="str">
        <f>IFERROR(__xludf.DUMMYFUNCTION("""COMPUTED_VALUE"""),"CRM250R")</f>
        <v>CRM250R</v>
      </c>
      <c r="O44" s="259" t="str">
        <f>IFERROR(__xludf.DUMMYFUNCTION("""COMPUTED_VALUE"""),"赤/紫")</f>
        <v>赤/紫</v>
      </c>
      <c r="P44" s="259" t="str">
        <f>IFERROR(__xludf.DUMMYFUNCTION("""COMPUTED_VALUE"""),"D級")</f>
        <v>D級</v>
      </c>
      <c r="Q44" s="261"/>
      <c r="R44" s="261"/>
      <c r="S44" s="261"/>
      <c r="T44" s="261"/>
      <c r="U44" s="256" t="str">
        <f>IFERROR(__xludf.DUMMYFUNCTION("""COMPUTED_VALUE"""),"いいえ")</f>
        <v>いいえ</v>
      </c>
      <c r="V44" s="256" t="str">
        <f>IFERROR(__xludf.DUMMYFUNCTION("""COMPUTED_VALUE"""),"いいえ")</f>
        <v>いいえ</v>
      </c>
      <c r="W44" s="261"/>
      <c r="X44" s="259" t="str">
        <f>IFERROR(__xludf.DUMMYFUNCTION("""COMPUTED_VALUE"""),"今年1年を占う今シーズンの初大会。やってやります！よろしくどうぞ〜！")</f>
        <v>今年1年を占う今シーズンの初大会。やってやります！よろしくどうぞ〜！</v>
      </c>
      <c r="Y44" s="262"/>
    </row>
    <row r="45">
      <c r="A45" s="248"/>
      <c r="B45" s="249">
        <f>IFERROR(__xludf.DUMMYFUNCTION("""COMPUTED_VALUE"""),37.0)</f>
        <v>37</v>
      </c>
      <c r="C45" s="249" t="str">
        <f>IFERROR(__xludf.DUMMYFUNCTION("""COMPUTED_VALUE"""),"C2")</f>
        <v>C2</v>
      </c>
      <c r="D45" s="249" t="str">
        <f>IFERROR(__xludf.DUMMYFUNCTION("""COMPUTED_VALUE"""),"-")</f>
        <v>-</v>
      </c>
      <c r="E45" s="250" t="str">
        <f>IFERROR(__xludf.DUMMYFUNCTION("""COMPUTED_VALUE"""),"TAM")</f>
        <v>TAM</v>
      </c>
      <c r="F45" s="263" t="str">
        <f>IFERROR(__xludf.DUMMYFUNCTION("""COMPUTED_VALUE"""),"参加")</f>
        <v>参加</v>
      </c>
      <c r="G45" s="263" t="str">
        <f>IFERROR(__xludf.DUMMYFUNCTION("""COMPUTED_VALUE"""),"-")</f>
        <v>-</v>
      </c>
      <c r="H45" s="263">
        <f>IFERROR(__xludf.DUMMYFUNCTION("""COMPUTED_VALUE"""),36.0)</f>
        <v>36</v>
      </c>
      <c r="I45" s="258">
        <f>IFERROR(__xludf.DUMMYFUNCTION("""COMPUTED_VALUE"""),45714.977339432866)</f>
        <v>45714.97734</v>
      </c>
      <c r="J45" s="259" t="str">
        <f>IFERROR(__xludf.DUMMYFUNCTION("""COMPUTED_VALUE"""),"はい")</f>
        <v>はい</v>
      </c>
      <c r="K45" s="259" t="str">
        <f>IFERROR(__xludf.DUMMYFUNCTION("""COMPUTED_VALUE"""),"田村　真也")</f>
        <v>田村　真也</v>
      </c>
      <c r="L45" s="259" t="str">
        <f>IFERROR(__xludf.DUMMYFUNCTION("""COMPUTED_VALUE"""),"TAM")</f>
        <v>TAM</v>
      </c>
      <c r="M45" s="259" t="str">
        <f>IFERROR(__xludf.DUMMYFUNCTION("""COMPUTED_VALUE"""),"選手名")</f>
        <v>選手名</v>
      </c>
      <c r="N45" s="259" t="str">
        <f>IFERROR(__xludf.DUMMYFUNCTION("""COMPUTED_VALUE"""),"GROM")</f>
        <v>GROM</v>
      </c>
      <c r="O45" s="259" t="str">
        <f>IFERROR(__xludf.DUMMYFUNCTION("""COMPUTED_VALUE"""),"ゴールド")</f>
        <v>ゴールド</v>
      </c>
      <c r="P45" s="260" t="str">
        <f>IFERROR(__xludf.DUMMYFUNCTION("""COMPUTED_VALUE"""),"C2級")</f>
        <v>C2級</v>
      </c>
      <c r="Q45" s="261"/>
      <c r="R45" s="261"/>
      <c r="S45" s="261"/>
      <c r="T45" s="261"/>
      <c r="U45" s="256" t="str">
        <f>IFERROR(__xludf.DUMMYFUNCTION("""COMPUTED_VALUE"""),"いいえ")</f>
        <v>いいえ</v>
      </c>
      <c r="V45" s="256" t="str">
        <f>IFERROR(__xludf.DUMMYFUNCTION("""COMPUTED_VALUE"""),"いいえ")</f>
        <v>いいえ</v>
      </c>
      <c r="W45" s="261"/>
      <c r="X45" s="259" t="str">
        <f>IFERROR(__xludf.DUMMYFUNCTION("""COMPUTED_VALUE"""),"まだまだ長野は寒くて冬眠中です。ちょっとだけ起きてやってまいりました！終わったらまた寝ます！")</f>
        <v>まだまだ長野は寒くて冬眠中です。ちょっとだけ起きてやってまいりました！終わったらまた寝ます！</v>
      </c>
      <c r="Y45" s="262"/>
    </row>
    <row r="46">
      <c r="A46" s="248"/>
      <c r="B46" s="249">
        <f>IFERROR(__xludf.DUMMYFUNCTION("""COMPUTED_VALUE"""),9.0)</f>
        <v>9</v>
      </c>
      <c r="C46" s="249" t="str">
        <f>IFERROR(__xludf.DUMMYFUNCTION("""COMPUTED_VALUE"""),"D")</f>
        <v>D</v>
      </c>
      <c r="D46" s="249" t="str">
        <f>IFERROR(__xludf.DUMMYFUNCTION("""COMPUTED_VALUE"""),"-")</f>
        <v>-</v>
      </c>
      <c r="E46" s="250" t="str">
        <f>IFERROR(__xludf.DUMMYFUNCTION("""COMPUTED_VALUE"""),"ひーちゃん")</f>
        <v>ひーちゃん</v>
      </c>
      <c r="F46" s="263" t="str">
        <f>IFERROR(__xludf.DUMMYFUNCTION("""COMPUTED_VALUE"""),"参加")</f>
        <v>参加</v>
      </c>
      <c r="G46" s="263" t="str">
        <f>IFERROR(__xludf.DUMMYFUNCTION("""COMPUTED_VALUE"""),"後半：マーシャル②")</f>
        <v>後半：マーシャル②</v>
      </c>
      <c r="H46" s="263">
        <f>IFERROR(__xludf.DUMMYFUNCTION("""COMPUTED_VALUE"""),9.0)</f>
        <v>9</v>
      </c>
      <c r="I46" s="258">
        <f>IFERROR(__xludf.DUMMYFUNCTION("""COMPUTED_VALUE"""),45715.00993342593)</f>
        <v>45715.00993</v>
      </c>
      <c r="J46" s="259" t="str">
        <f>IFERROR(__xludf.DUMMYFUNCTION("""COMPUTED_VALUE"""),"はい")</f>
        <v>はい</v>
      </c>
      <c r="K46" s="259" t="str">
        <f>IFERROR(__xludf.DUMMYFUNCTION("""COMPUTED_VALUE"""),"木下聖")</f>
        <v>木下聖</v>
      </c>
      <c r="L46" s="259" t="str">
        <f>IFERROR(__xludf.DUMMYFUNCTION("""COMPUTED_VALUE"""),"ひーちゃん")</f>
        <v>ひーちゃん</v>
      </c>
      <c r="M46" s="259" t="str">
        <f>IFERROR(__xludf.DUMMYFUNCTION("""COMPUTED_VALUE"""),"選手名")</f>
        <v>選手名</v>
      </c>
      <c r="N46" s="259" t="str">
        <f>IFERROR(__xludf.DUMMYFUNCTION("""COMPUTED_VALUE"""),"NSR50改")</f>
        <v>NSR50改</v>
      </c>
      <c r="O46" s="259" t="str">
        <f>IFERROR(__xludf.DUMMYFUNCTION("""COMPUTED_VALUE"""),"青")</f>
        <v>青</v>
      </c>
      <c r="P46" s="259" t="str">
        <f>IFERROR(__xludf.DUMMYFUNCTION("""COMPUTED_VALUE"""),"D級")</f>
        <v>D級</v>
      </c>
      <c r="Q46" s="261"/>
      <c r="R46" s="261"/>
      <c r="S46" s="261"/>
      <c r="T46" s="261"/>
      <c r="U46" s="256" t="str">
        <f>IFERROR(__xludf.DUMMYFUNCTION("""COMPUTED_VALUE"""),"いいえ")</f>
        <v>いいえ</v>
      </c>
      <c r="V46" s="256" t="str">
        <f>IFERROR(__xludf.DUMMYFUNCTION("""COMPUTED_VALUE"""),"いいえ")</f>
        <v>いいえ</v>
      </c>
      <c r="W46" s="261"/>
      <c r="X46" s="259" t="str">
        <f>IFERROR(__xludf.DUMMYFUNCTION("""COMPUTED_VALUE"""),"アルミタンク最高です！")</f>
        <v>アルミタンク最高です！</v>
      </c>
      <c r="Y46" s="262"/>
    </row>
    <row r="47">
      <c r="A47" s="248"/>
      <c r="B47" s="249">
        <f>IFERROR(__xludf.DUMMYFUNCTION("""COMPUTED_VALUE"""),32.0)</f>
        <v>32</v>
      </c>
      <c r="C47" s="249" t="str">
        <f>IFERROR(__xludf.DUMMYFUNCTION("""COMPUTED_VALUE"""),"C2")</f>
        <v>C2</v>
      </c>
      <c r="D47" s="249" t="str">
        <f>IFERROR(__xludf.DUMMYFUNCTION("""COMPUTED_VALUE"""),"-")</f>
        <v>-</v>
      </c>
      <c r="E47" s="250" t="str">
        <f>IFERROR(__xludf.DUMMYFUNCTION("""COMPUTED_VALUE"""),"ひろ")</f>
        <v>ひろ</v>
      </c>
      <c r="F47" s="263" t="str">
        <f>IFERROR(__xludf.DUMMYFUNCTION("""COMPUTED_VALUE"""),"参加")</f>
        <v>参加</v>
      </c>
      <c r="G47" s="263" t="str">
        <f>IFERROR(__xludf.DUMMYFUNCTION("""COMPUTED_VALUE"""),"前半：マーシャル③")</f>
        <v>前半：マーシャル③</v>
      </c>
      <c r="H47" s="263">
        <f>IFERROR(__xludf.DUMMYFUNCTION("""COMPUTED_VALUE"""),31.0)</f>
        <v>31</v>
      </c>
      <c r="I47" s="258">
        <f>IFERROR(__xludf.DUMMYFUNCTION("""COMPUTED_VALUE"""),45715.55539858797)</f>
        <v>45715.5554</v>
      </c>
      <c r="J47" s="259" t="str">
        <f>IFERROR(__xludf.DUMMYFUNCTION("""COMPUTED_VALUE"""),"はい")</f>
        <v>はい</v>
      </c>
      <c r="K47" s="259" t="str">
        <f>IFERROR(__xludf.DUMMYFUNCTION("""COMPUTED_VALUE"""),"中村浩志")</f>
        <v>中村浩志</v>
      </c>
      <c r="L47" s="259" t="str">
        <f>IFERROR(__xludf.DUMMYFUNCTION("""COMPUTED_VALUE"""),"ひろ")</f>
        <v>ひろ</v>
      </c>
      <c r="M47" s="259" t="str">
        <f>IFERROR(__xludf.DUMMYFUNCTION("""COMPUTED_VALUE"""),"選手名")</f>
        <v>選手名</v>
      </c>
      <c r="N47" s="259" t="str">
        <f>IFERROR(__xludf.DUMMYFUNCTION("""COMPUTED_VALUE"""),"NSR250R")</f>
        <v>NSR250R</v>
      </c>
      <c r="O47" s="259" t="str">
        <f>IFERROR(__xludf.DUMMYFUNCTION("""COMPUTED_VALUE"""),"黒/赤")</f>
        <v>黒/赤</v>
      </c>
      <c r="P47" s="259" t="str">
        <f>IFERROR(__xludf.DUMMYFUNCTION("""COMPUTED_VALUE"""),"C2級")</f>
        <v>C2級</v>
      </c>
      <c r="Q47" s="261"/>
      <c r="R47" s="261"/>
      <c r="S47" s="261"/>
      <c r="T47" s="261"/>
      <c r="U47" s="256" t="str">
        <f>IFERROR(__xludf.DUMMYFUNCTION("""COMPUTED_VALUE"""),"いいえ")</f>
        <v>いいえ</v>
      </c>
      <c r="V47" s="256" t="str">
        <f>IFERROR(__xludf.DUMMYFUNCTION("""COMPUTED_VALUE"""),"いいえ")</f>
        <v>いいえ</v>
      </c>
      <c r="W47" s="261"/>
      <c r="X47" s="259" t="str">
        <f>IFERROR(__xludf.DUMMYFUNCTION("""COMPUTED_VALUE"""),"がんばります")</f>
        <v>がんばります</v>
      </c>
      <c r="Y47" s="262"/>
    </row>
    <row r="48">
      <c r="A48" s="248"/>
      <c r="B48" s="249">
        <f>IFERROR(__xludf.DUMMYFUNCTION("""COMPUTED_VALUE"""),47.0)</f>
        <v>47</v>
      </c>
      <c r="C48" s="249" t="str">
        <f>IFERROR(__xludf.DUMMYFUNCTION("""COMPUTED_VALUE"""),"C1")</f>
        <v>C1</v>
      </c>
      <c r="D48" s="249" t="str">
        <f>IFERROR(__xludf.DUMMYFUNCTION("""COMPUTED_VALUE"""),"-")</f>
        <v>-</v>
      </c>
      <c r="E48" s="250" t="str">
        <f>IFERROR(__xludf.DUMMYFUNCTION("""COMPUTED_VALUE"""),"角")</f>
        <v>角</v>
      </c>
      <c r="F48" s="263" t="str">
        <f>IFERROR(__xludf.DUMMYFUNCTION("""COMPUTED_VALUE"""),"参加")</f>
        <v>参加</v>
      </c>
      <c r="G48" s="263" t="str">
        <f>IFERROR(__xludf.DUMMYFUNCTION("""COMPUTED_VALUE"""),"前半：マーシャル④")</f>
        <v>前半：マーシャル④</v>
      </c>
      <c r="H48" s="263">
        <f>IFERROR(__xludf.DUMMYFUNCTION("""COMPUTED_VALUE"""),46.0)</f>
        <v>46</v>
      </c>
      <c r="I48" s="258">
        <f>IFERROR(__xludf.DUMMYFUNCTION("""COMPUTED_VALUE"""),45716.123213784726)</f>
        <v>45716.12321</v>
      </c>
      <c r="J48" s="259" t="str">
        <f>IFERROR(__xludf.DUMMYFUNCTION("""COMPUTED_VALUE"""),"はい")</f>
        <v>はい</v>
      </c>
      <c r="K48" s="259" t="str">
        <f>IFERROR(__xludf.DUMMYFUNCTION("""COMPUTED_VALUE"""),"川田　晃嘉")</f>
        <v>川田　晃嘉</v>
      </c>
      <c r="L48" s="259" t="str">
        <f>IFERROR(__xludf.DUMMYFUNCTION("""COMPUTED_VALUE"""),"角")</f>
        <v>角</v>
      </c>
      <c r="M48" s="259" t="str">
        <f>IFERROR(__xludf.DUMMYFUNCTION("""COMPUTED_VALUE"""),"選手名")</f>
        <v>選手名</v>
      </c>
      <c r="N48" s="259" t="str">
        <f>IFERROR(__xludf.DUMMYFUNCTION("""COMPUTED_VALUE"""),"SV650")</f>
        <v>SV650</v>
      </c>
      <c r="O48" s="259" t="str">
        <f>IFERROR(__xludf.DUMMYFUNCTION("""COMPUTED_VALUE"""),"赤/銀")</f>
        <v>赤/銀</v>
      </c>
      <c r="P48" s="260" t="str">
        <f>IFERROR(__xludf.DUMMYFUNCTION("""COMPUTED_VALUE"""),"C1級")</f>
        <v>C1級</v>
      </c>
      <c r="Q48" s="261"/>
      <c r="R48" s="261"/>
      <c r="S48" s="261"/>
      <c r="T48" s="261"/>
      <c r="U48" s="256" t="str">
        <f>IFERROR(__xludf.DUMMYFUNCTION("""COMPUTED_VALUE"""),"いいえ")</f>
        <v>いいえ</v>
      </c>
      <c r="V48" s="256" t="str">
        <f>IFERROR(__xludf.DUMMYFUNCTION("""COMPUTED_VALUE"""),"いいえ")</f>
        <v>いいえ</v>
      </c>
      <c r="W48" s="261"/>
      <c r="X48" s="259" t="str">
        <f>IFERROR(__xludf.DUMMYFUNCTION("""COMPUTED_VALUE"""),"花粉症がマジで辛いです。")</f>
        <v>花粉症がマジで辛いです。</v>
      </c>
      <c r="Y48" s="262"/>
    </row>
    <row r="49">
      <c r="A49" s="248"/>
      <c r="B49" s="249">
        <f>IFERROR(__xludf.DUMMYFUNCTION("""COMPUTED_VALUE"""),48.0)</f>
        <v>48</v>
      </c>
      <c r="C49" s="249" t="str">
        <f>IFERROR(__xludf.DUMMYFUNCTION("""COMPUTED_VALUE"""),"B")</f>
        <v>B</v>
      </c>
      <c r="D49" s="249" t="str">
        <f>IFERROR(__xludf.DUMMYFUNCTION("""COMPUTED_VALUE"""),"-")</f>
        <v>-</v>
      </c>
      <c r="E49" s="250" t="str">
        <f>IFERROR(__xludf.DUMMYFUNCTION("""COMPUTED_VALUE"""),"P")</f>
        <v>P</v>
      </c>
      <c r="F49" s="263" t="str">
        <f>IFERROR(__xludf.DUMMYFUNCTION("""COMPUTED_VALUE"""),"参加")</f>
        <v>参加</v>
      </c>
      <c r="G49" s="263" t="str">
        <f>IFERROR(__xludf.DUMMYFUNCTION("""COMPUTED_VALUE"""),"-")</f>
        <v>-</v>
      </c>
      <c r="H49" s="263">
        <f>IFERROR(__xludf.DUMMYFUNCTION("""COMPUTED_VALUE"""),47.0)</f>
        <v>47</v>
      </c>
      <c r="I49" s="258">
        <f>IFERROR(__xludf.DUMMYFUNCTION("""COMPUTED_VALUE"""),45717.386122766206)</f>
        <v>45717.38612</v>
      </c>
      <c r="J49" s="259" t="str">
        <f>IFERROR(__xludf.DUMMYFUNCTION("""COMPUTED_VALUE"""),"はい")</f>
        <v>はい</v>
      </c>
      <c r="K49" s="259" t="str">
        <f>IFERROR(__xludf.DUMMYFUNCTION("""COMPUTED_VALUE"""),"松下良")</f>
        <v>松下良</v>
      </c>
      <c r="L49" s="259" t="str">
        <f>IFERROR(__xludf.DUMMYFUNCTION("""COMPUTED_VALUE"""),"P")</f>
        <v>P</v>
      </c>
      <c r="M49" s="259" t="str">
        <f>IFERROR(__xludf.DUMMYFUNCTION("""COMPUTED_VALUE"""),"選手名")</f>
        <v>選手名</v>
      </c>
      <c r="N49" s="259" t="str">
        <f>IFERROR(__xludf.DUMMYFUNCTION("""COMPUTED_VALUE"""),"XSR155")</f>
        <v>XSR155</v>
      </c>
      <c r="O49" s="259" t="str">
        <f>IFERROR(__xludf.DUMMYFUNCTION("""COMPUTED_VALUE"""),"グリーン")</f>
        <v>グリーン</v>
      </c>
      <c r="P49" s="260" t="str">
        <f>IFERROR(__xludf.DUMMYFUNCTION("""COMPUTED_VALUE"""),"B級")</f>
        <v>B級</v>
      </c>
      <c r="Q49" s="261"/>
      <c r="R49" s="261"/>
      <c r="S49" s="261"/>
      <c r="T49" s="261"/>
      <c r="U49" s="256" t="str">
        <f>IFERROR(__xludf.DUMMYFUNCTION("""COMPUTED_VALUE"""),"いいえ")</f>
        <v>いいえ</v>
      </c>
      <c r="V49" s="256" t="str">
        <f>IFERROR(__xludf.DUMMYFUNCTION("""COMPUTED_VALUE"""),"いいえ")</f>
        <v>いいえ</v>
      </c>
      <c r="W49" s="261"/>
      <c r="X49" s="259" t="str">
        <f>IFERROR(__xludf.DUMMYFUNCTION("""COMPUTED_VALUE"""),"エンジョイ勢です。XSR155で初大会です。何パー出せるかやってみます！")</f>
        <v>エンジョイ勢です。XSR155で初大会です。何パー出せるかやってみます！</v>
      </c>
      <c r="Y49" s="262"/>
    </row>
    <row r="50">
      <c r="A50" s="248"/>
      <c r="B50" s="249">
        <f>IFERROR(__xludf.DUMMYFUNCTION("""COMPUTED_VALUE"""),20.0)</f>
        <v>20</v>
      </c>
      <c r="C50" s="249" t="str">
        <f>IFERROR(__xludf.DUMMYFUNCTION("""COMPUTED_VALUE"""),"N")</f>
        <v>N</v>
      </c>
      <c r="D50" s="249" t="str">
        <f>IFERROR(__xludf.DUMMYFUNCTION("""COMPUTED_VALUE"""),"ミニ")</f>
        <v>ミニ</v>
      </c>
      <c r="E50" s="250" t="str">
        <f>IFERROR(__xludf.DUMMYFUNCTION("""COMPUTED_VALUE"""),"S hin")</f>
        <v>S hin</v>
      </c>
      <c r="F50" s="263" t="str">
        <f>IFERROR(__xludf.DUMMYFUNCTION("""COMPUTED_VALUE"""),"参加")</f>
        <v>参加</v>
      </c>
      <c r="G50" s="263" t="str">
        <f>IFERROR(__xludf.DUMMYFUNCTION("""COMPUTED_VALUE"""),"-")</f>
        <v>-</v>
      </c>
      <c r="H50" s="263">
        <f>IFERROR(__xludf.DUMMYFUNCTION("""COMPUTED_VALUE"""),20.0)</f>
        <v>20</v>
      </c>
      <c r="I50" s="258">
        <f>IFERROR(__xludf.DUMMYFUNCTION("""COMPUTED_VALUE"""),45717.78902480324)</f>
        <v>45717.78902</v>
      </c>
      <c r="J50" s="259" t="str">
        <f>IFERROR(__xludf.DUMMYFUNCTION("""COMPUTED_VALUE"""),"はい")</f>
        <v>はい</v>
      </c>
      <c r="K50" s="259" t="str">
        <f>IFERROR(__xludf.DUMMYFUNCTION("""COMPUTED_VALUE"""),"伊藤真治")</f>
        <v>伊藤真治</v>
      </c>
      <c r="L50" s="259" t="str">
        <f>IFERROR(__xludf.DUMMYFUNCTION("""COMPUTED_VALUE"""),"S hin")</f>
        <v>S hin</v>
      </c>
      <c r="M50" s="259" t="str">
        <f>IFERROR(__xludf.DUMMYFUNCTION("""COMPUTED_VALUE"""),"選手名")</f>
        <v>選手名</v>
      </c>
      <c r="N50" s="259" t="str">
        <f>IFERROR(__xludf.DUMMYFUNCTION("""COMPUTED_VALUE"""),"GROM")</f>
        <v>GROM</v>
      </c>
      <c r="O50" s="259" t="str">
        <f>IFERROR(__xludf.DUMMYFUNCTION("""COMPUTED_VALUE"""),"白")</f>
        <v>白</v>
      </c>
      <c r="P50" s="260" t="str">
        <f>IFERROR(__xludf.DUMMYFUNCTION("""COMPUTED_VALUE"""),"N級")</f>
        <v>N級</v>
      </c>
      <c r="Q50" s="261"/>
      <c r="R50" s="261"/>
      <c r="S50" s="261"/>
      <c r="T50" s="261"/>
      <c r="U50" s="256" t="str">
        <f>IFERROR(__xludf.DUMMYFUNCTION("""COMPUTED_VALUE"""),"いいえ")</f>
        <v>いいえ</v>
      </c>
      <c r="V50" s="256" t="str">
        <f>IFERROR(__xludf.DUMMYFUNCTION("""COMPUTED_VALUE"""),"はい")</f>
        <v>はい</v>
      </c>
      <c r="W50" s="261"/>
      <c r="X50" s="259" t="str">
        <f>IFERROR(__xludf.DUMMYFUNCTION("""COMPUTED_VALUE"""),"モトジムカーナの大会初出場です。良い思い出になりますように！（神頼み&amp;他力本願）")</f>
        <v>モトジムカーナの大会初出場です。良い思い出になりますように！（神頼み&amp;他力本願）</v>
      </c>
      <c r="Y50" s="262"/>
    </row>
    <row r="51">
      <c r="A51" s="248"/>
      <c r="B51" s="249">
        <f>IFERROR(__xludf.DUMMYFUNCTION("""COMPUTED_VALUE"""),24.0)</f>
        <v>24</v>
      </c>
      <c r="C51" s="249" t="str">
        <f>IFERROR(__xludf.DUMMYFUNCTION("""COMPUTED_VALUE"""),"N")</f>
        <v>N</v>
      </c>
      <c r="D51" s="249" t="str">
        <f>IFERROR(__xludf.DUMMYFUNCTION("""COMPUTED_VALUE"""),"-")</f>
        <v>-</v>
      </c>
      <c r="E51" s="250" t="str">
        <f>IFERROR(__xludf.DUMMYFUNCTION("""COMPUTED_VALUE"""),"こぱー")</f>
        <v>こぱー</v>
      </c>
      <c r="F51" s="263" t="str">
        <f>IFERROR(__xludf.DUMMYFUNCTION("""COMPUTED_VALUE"""),"参加")</f>
        <v>参加</v>
      </c>
      <c r="G51" s="263" t="str">
        <f>IFERROR(__xludf.DUMMYFUNCTION("""COMPUTED_VALUE"""),"朝：トランポ誘導")</f>
        <v>朝：トランポ誘導</v>
      </c>
      <c r="H51" s="263">
        <f>IFERROR(__xludf.DUMMYFUNCTION("""COMPUTED_VALUE"""),24.0)</f>
        <v>24</v>
      </c>
      <c r="I51" s="258">
        <f>IFERROR(__xludf.DUMMYFUNCTION("""COMPUTED_VALUE"""),45717.882749965276)</f>
        <v>45717.88275</v>
      </c>
      <c r="J51" s="259" t="str">
        <f>IFERROR(__xludf.DUMMYFUNCTION("""COMPUTED_VALUE"""),"はい")</f>
        <v>はい</v>
      </c>
      <c r="K51" s="259" t="str">
        <f>IFERROR(__xludf.DUMMYFUNCTION("""COMPUTED_VALUE"""),"コバヤシトシアキ")</f>
        <v>コバヤシトシアキ</v>
      </c>
      <c r="L51" s="259" t="str">
        <f>IFERROR(__xludf.DUMMYFUNCTION("""COMPUTED_VALUE"""),"こぱー")</f>
        <v>こぱー</v>
      </c>
      <c r="M51" s="259" t="str">
        <f>IFERROR(__xludf.DUMMYFUNCTION("""COMPUTED_VALUE"""),"選手名")</f>
        <v>選手名</v>
      </c>
      <c r="N51" s="259" t="str">
        <f>IFERROR(__xludf.DUMMYFUNCTION("""COMPUTED_VALUE"""),"CB250R ")</f>
        <v>CB250R </v>
      </c>
      <c r="O51" s="259" t="str">
        <f>IFERROR(__xludf.DUMMYFUNCTION("""COMPUTED_VALUE"""),"赤")</f>
        <v>赤</v>
      </c>
      <c r="P51" s="260" t="str">
        <f>IFERROR(__xludf.DUMMYFUNCTION("""COMPUTED_VALUE"""),"N級")</f>
        <v>N級</v>
      </c>
      <c r="Q51" s="261"/>
      <c r="R51" s="261"/>
      <c r="S51" s="261"/>
      <c r="T51" s="261"/>
      <c r="U51" s="256" t="str">
        <f>IFERROR(__xludf.DUMMYFUNCTION("""COMPUTED_VALUE"""),"いいえ")</f>
        <v>いいえ</v>
      </c>
      <c r="V51" s="256" t="str">
        <f>IFERROR(__xludf.DUMMYFUNCTION("""COMPUTED_VALUE"""),"いいえ")</f>
        <v>いいえ</v>
      </c>
      <c r="W51" s="261"/>
      <c r="X51" s="259" t="str">
        <f>IFERROR(__xludf.DUMMYFUNCTION("""COMPUTED_VALUE"""),"初大会、Enjoy出来るように、頑張ります")</f>
        <v>初大会、Enjoy出来るように、頑張ります</v>
      </c>
      <c r="Y51" s="262"/>
    </row>
    <row r="52">
      <c r="A52" s="248"/>
      <c r="B52" s="249">
        <f>IFERROR(__xludf.DUMMYFUNCTION("""COMPUTED_VALUE"""),26.0)</f>
        <v>26</v>
      </c>
      <c r="C52" s="249" t="str">
        <f>IFERROR(__xludf.DUMMYFUNCTION("""COMPUTED_VALUE"""),"N")</f>
        <v>N</v>
      </c>
      <c r="D52" s="249" t="str">
        <f>IFERROR(__xludf.DUMMYFUNCTION("""COMPUTED_VALUE"""),"-")</f>
        <v>-</v>
      </c>
      <c r="E52" s="250" t="str">
        <f>IFERROR(__xludf.DUMMYFUNCTION("""COMPUTED_VALUE"""),"まさじぃ")</f>
        <v>まさじぃ</v>
      </c>
      <c r="F52" s="263" t="str">
        <f>IFERROR(__xludf.DUMMYFUNCTION("""COMPUTED_VALUE"""),"参加")</f>
        <v>参加</v>
      </c>
      <c r="G52" s="263" t="str">
        <f>IFERROR(__xludf.DUMMYFUNCTION("""COMPUTED_VALUE"""),"-")</f>
        <v>-</v>
      </c>
      <c r="H52" s="263">
        <f>IFERROR(__xludf.DUMMYFUNCTION("""COMPUTED_VALUE"""),26.0)</f>
        <v>26</v>
      </c>
      <c r="I52" s="258">
        <f>IFERROR(__xludf.DUMMYFUNCTION("""COMPUTED_VALUE"""),45718.40807586805)</f>
        <v>45718.40808</v>
      </c>
      <c r="J52" s="259" t="str">
        <f>IFERROR(__xludf.DUMMYFUNCTION("""COMPUTED_VALUE"""),"はい")</f>
        <v>はい</v>
      </c>
      <c r="K52" s="259" t="str">
        <f>IFERROR(__xludf.DUMMYFUNCTION("""COMPUTED_VALUE"""),"石坂正治")</f>
        <v>石坂正治</v>
      </c>
      <c r="L52" s="259" t="str">
        <f>IFERROR(__xludf.DUMMYFUNCTION("""COMPUTED_VALUE"""),"まさじぃ")</f>
        <v>まさじぃ</v>
      </c>
      <c r="M52" s="259" t="str">
        <f>IFERROR(__xludf.DUMMYFUNCTION("""COMPUTED_VALUE"""),"選手名")</f>
        <v>選手名</v>
      </c>
      <c r="N52" s="259" t="str">
        <f>IFERROR(__xludf.DUMMYFUNCTION("""COMPUTED_VALUE"""),"GSX-S1000")</f>
        <v>GSX-S1000</v>
      </c>
      <c r="O52" s="259" t="str">
        <f>IFERROR(__xludf.DUMMYFUNCTION("""COMPUTED_VALUE"""),"黒/青")</f>
        <v>黒/青</v>
      </c>
      <c r="P52" s="259" t="str">
        <f>IFERROR(__xludf.DUMMYFUNCTION("""COMPUTED_VALUE"""),"N級")</f>
        <v>N級</v>
      </c>
      <c r="Q52" s="261"/>
      <c r="R52" s="261"/>
      <c r="S52" s="261"/>
      <c r="T52" s="261"/>
      <c r="U52" s="256" t="str">
        <f>IFERROR(__xludf.DUMMYFUNCTION("""COMPUTED_VALUE"""),"いいえ")</f>
        <v>いいえ</v>
      </c>
      <c r="V52" s="256" t="str">
        <f>IFERROR(__xludf.DUMMYFUNCTION("""COMPUTED_VALUE"""),"いいえ")</f>
        <v>いいえ</v>
      </c>
      <c r="W52" s="261"/>
      <c r="X52" s="259" t="str">
        <f>IFERROR(__xludf.DUMMYFUNCTION("""COMPUTED_VALUE"""),"ノービスをキープします")</f>
        <v>ノービスをキープします</v>
      </c>
      <c r="Y52" s="262"/>
    </row>
    <row r="53">
      <c r="A53" s="248"/>
      <c r="B53" s="249">
        <f>IFERROR(__xludf.DUMMYFUNCTION("""COMPUTED_VALUE"""),54.0)</f>
        <v>54</v>
      </c>
      <c r="C53" s="249" t="str">
        <f>IFERROR(__xludf.DUMMYFUNCTION("""COMPUTED_VALUE"""),"A")</f>
        <v>A</v>
      </c>
      <c r="D53" s="249" t="str">
        <f>IFERROR(__xludf.DUMMYFUNCTION("""COMPUTED_VALUE"""),"-")</f>
        <v>-</v>
      </c>
      <c r="E53" s="250" t="str">
        <f>IFERROR(__xludf.DUMMYFUNCTION("""COMPUTED_VALUE"""),"OKOK")</f>
        <v>OKOK</v>
      </c>
      <c r="F53" s="263" t="str">
        <f>IFERROR(__xludf.DUMMYFUNCTION("""COMPUTED_VALUE"""),"参加")</f>
        <v>参加</v>
      </c>
      <c r="G53" s="263" t="str">
        <f>IFERROR(__xludf.DUMMYFUNCTION("""COMPUTED_VALUE"""),"-")</f>
        <v>-</v>
      </c>
      <c r="H53" s="263">
        <f>IFERROR(__xludf.DUMMYFUNCTION("""COMPUTED_VALUE"""),53.0)</f>
        <v>53</v>
      </c>
      <c r="I53" s="258">
        <f>IFERROR(__xludf.DUMMYFUNCTION("""COMPUTED_VALUE"""),45718.47431615741)</f>
        <v>45718.47432</v>
      </c>
      <c r="J53" s="259" t="str">
        <f>IFERROR(__xludf.DUMMYFUNCTION("""COMPUTED_VALUE"""),"はい")</f>
        <v>はい</v>
      </c>
      <c r="K53" s="259" t="str">
        <f>IFERROR(__xludf.DUMMYFUNCTION("""COMPUTED_VALUE"""),"大川彰人")</f>
        <v>大川彰人</v>
      </c>
      <c r="L53" s="259" t="str">
        <f>IFERROR(__xludf.DUMMYFUNCTION("""COMPUTED_VALUE"""),"OKOK")</f>
        <v>OKOK</v>
      </c>
      <c r="M53" s="259" t="str">
        <f>IFERROR(__xludf.DUMMYFUNCTION("""COMPUTED_VALUE"""),"選手名")</f>
        <v>選手名</v>
      </c>
      <c r="N53" s="259" t="str">
        <f>IFERROR(__xludf.DUMMYFUNCTION("""COMPUTED_VALUE"""),"NSR250")</f>
        <v>NSR250</v>
      </c>
      <c r="O53" s="259" t="str">
        <f>IFERROR(__xludf.DUMMYFUNCTION("""COMPUTED_VALUE"""),"赤白")</f>
        <v>赤白</v>
      </c>
      <c r="P53" s="260" t="str">
        <f>IFERROR(__xludf.DUMMYFUNCTION("""COMPUTED_VALUE"""),"A級")</f>
        <v>A級</v>
      </c>
      <c r="Q53" s="261"/>
      <c r="R53" s="261"/>
      <c r="S53" s="261"/>
      <c r="T53" s="261"/>
      <c r="U53" s="256" t="str">
        <f>IFERROR(__xludf.DUMMYFUNCTION("""COMPUTED_VALUE"""),"いいえ")</f>
        <v>いいえ</v>
      </c>
      <c r="V53" s="256" t="str">
        <f>IFERROR(__xludf.DUMMYFUNCTION("""COMPUTED_VALUE"""),"いいえ")</f>
        <v>いいえ</v>
      </c>
      <c r="W53" s="261"/>
      <c r="X53" s="259" t="str">
        <f>IFERROR(__xludf.DUMMYFUNCTION("""COMPUTED_VALUE"""),"よろしくお願いします。")</f>
        <v>よろしくお願いします。</v>
      </c>
      <c r="Y53" s="262"/>
    </row>
    <row r="54">
      <c r="A54" s="248"/>
      <c r="B54" s="249">
        <f>IFERROR(__xludf.DUMMYFUNCTION("""COMPUTED_VALUE"""),36.0)</f>
        <v>36</v>
      </c>
      <c r="C54" s="249" t="str">
        <f>IFERROR(__xludf.DUMMYFUNCTION("""COMPUTED_VALUE"""),"C2")</f>
        <v>C2</v>
      </c>
      <c r="D54" s="249" t="str">
        <f>IFERROR(__xludf.DUMMYFUNCTION("""COMPUTED_VALUE"""),"-")</f>
        <v>-</v>
      </c>
      <c r="E54" s="250" t="str">
        <f>IFERROR(__xludf.DUMMYFUNCTION("""COMPUTED_VALUE"""),"かねなしんちゃん")</f>
        <v>かねなしんちゃん</v>
      </c>
      <c r="F54" s="263" t="str">
        <f>IFERROR(__xludf.DUMMYFUNCTION("""COMPUTED_VALUE"""),"参加")</f>
        <v>参加</v>
      </c>
      <c r="G54" s="263" t="str">
        <f>IFERROR(__xludf.DUMMYFUNCTION("""COMPUTED_VALUE"""),"前半：ウォームアップ補助")</f>
        <v>前半：ウォームアップ補助</v>
      </c>
      <c r="H54" s="263">
        <f>IFERROR(__xludf.DUMMYFUNCTION("""COMPUTED_VALUE"""),35.0)</f>
        <v>35</v>
      </c>
      <c r="I54" s="258">
        <f>IFERROR(__xludf.DUMMYFUNCTION("""COMPUTED_VALUE"""),45718.53786109954)</f>
        <v>45718.53786</v>
      </c>
      <c r="J54" s="259" t="str">
        <f>IFERROR(__xludf.DUMMYFUNCTION("""COMPUTED_VALUE"""),"はい")</f>
        <v>はい</v>
      </c>
      <c r="K54" s="259" t="str">
        <f>IFERROR(__xludf.DUMMYFUNCTION("""COMPUTED_VALUE"""),"岩田新弥")</f>
        <v>岩田新弥</v>
      </c>
      <c r="L54" s="259" t="str">
        <f>IFERROR(__xludf.DUMMYFUNCTION("""COMPUTED_VALUE"""),"かねなしんちゃん")</f>
        <v>かねなしんちゃん</v>
      </c>
      <c r="M54" s="259" t="str">
        <f>IFERROR(__xludf.DUMMYFUNCTION("""COMPUTED_VALUE"""),"選手名")</f>
        <v>選手名</v>
      </c>
      <c r="N54" s="259" t="str">
        <f>IFERROR(__xludf.DUMMYFUNCTION("""COMPUTED_VALUE"""),"NINJA400")</f>
        <v>NINJA400</v>
      </c>
      <c r="O54" s="259" t="str">
        <f>IFERROR(__xludf.DUMMYFUNCTION("""COMPUTED_VALUE"""),"白/青")</f>
        <v>白/青</v>
      </c>
      <c r="P54" s="260" t="str">
        <f>IFERROR(__xludf.DUMMYFUNCTION("""COMPUTED_VALUE"""),"C2級")</f>
        <v>C2級</v>
      </c>
      <c r="Q54" s="261"/>
      <c r="R54" s="261"/>
      <c r="S54" s="261"/>
      <c r="T54" s="261"/>
      <c r="U54" s="256" t="str">
        <f>IFERROR(__xludf.DUMMYFUNCTION("""COMPUTED_VALUE"""),"いいえ")</f>
        <v>いいえ</v>
      </c>
      <c r="V54" s="256" t="str">
        <f>IFERROR(__xludf.DUMMYFUNCTION("""COMPUTED_VALUE"""),"いいえ")</f>
        <v>いいえ</v>
      </c>
      <c r="W54" s="261"/>
      <c r="X54" s="259" t="str">
        <f>IFERROR(__xludf.DUMMYFUNCTION("""COMPUTED_VALUE"""),"最近NINJA400増えすぎて目立たなくなってきたので色変えてみました、走りの方でも目立てるよう頑張ります")</f>
        <v>最近NINJA400増えすぎて目立たなくなってきたので色変えてみました、走りの方でも目立てるよう頑張ります</v>
      </c>
      <c r="Y54" s="262"/>
    </row>
    <row r="55">
      <c r="A55" s="248"/>
      <c r="B55" s="249">
        <f>IFERROR(__xludf.DUMMYFUNCTION("""COMPUTED_VALUE"""),45.0)</f>
        <v>45</v>
      </c>
      <c r="C55" s="249" t="str">
        <f>IFERROR(__xludf.DUMMYFUNCTION("""COMPUTED_VALUE"""),"C1")</f>
        <v>C1</v>
      </c>
      <c r="D55" s="249" t="str">
        <f>IFERROR(__xludf.DUMMYFUNCTION("""COMPUTED_VALUE"""),"-")</f>
        <v>-</v>
      </c>
      <c r="E55" s="250" t="str">
        <f>IFERROR(__xludf.DUMMYFUNCTION("""COMPUTED_VALUE"""),"まろ")</f>
        <v>まろ</v>
      </c>
      <c r="F55" s="263" t="str">
        <f>IFERROR(__xludf.DUMMYFUNCTION("""COMPUTED_VALUE"""),"参加")</f>
        <v>参加</v>
      </c>
      <c r="G55" s="263" t="str">
        <f>IFERROR(__xludf.DUMMYFUNCTION("""COMPUTED_VALUE"""),"前半：カメラ②")</f>
        <v>前半：カメラ②</v>
      </c>
      <c r="H55" s="263">
        <f>IFERROR(__xludf.DUMMYFUNCTION("""COMPUTED_VALUE"""),44.0)</f>
        <v>44</v>
      </c>
      <c r="I55" s="258">
        <f>IFERROR(__xludf.DUMMYFUNCTION("""COMPUTED_VALUE"""),45718.63152877315)</f>
        <v>45718.63153</v>
      </c>
      <c r="J55" s="259" t="str">
        <f>IFERROR(__xludf.DUMMYFUNCTION("""COMPUTED_VALUE"""),"はい")</f>
        <v>はい</v>
      </c>
      <c r="K55" s="259" t="str">
        <f>IFERROR(__xludf.DUMMYFUNCTION("""COMPUTED_VALUE"""),"森田陽樹")</f>
        <v>森田陽樹</v>
      </c>
      <c r="L55" s="259" t="str">
        <f>IFERROR(__xludf.DUMMYFUNCTION("""COMPUTED_VALUE"""),"まろ")</f>
        <v>まろ</v>
      </c>
      <c r="M55" s="259" t="str">
        <f>IFERROR(__xludf.DUMMYFUNCTION("""COMPUTED_VALUE"""),"選手名")</f>
        <v>選手名</v>
      </c>
      <c r="N55" s="259" t="str">
        <f>IFERROR(__xludf.DUMMYFUNCTION("""COMPUTED_VALUE"""),"MSX125改")</f>
        <v>MSX125改</v>
      </c>
      <c r="O55" s="259" t="str">
        <f>IFERROR(__xludf.DUMMYFUNCTION("""COMPUTED_VALUE"""),"青白")</f>
        <v>青白</v>
      </c>
      <c r="P55" s="259" t="str">
        <f>IFERROR(__xludf.DUMMYFUNCTION("""COMPUTED_VALUE"""),"C1級")</f>
        <v>C1級</v>
      </c>
      <c r="Q55" s="261"/>
      <c r="R55" s="261"/>
      <c r="S55" s="261"/>
      <c r="T55" s="261"/>
      <c r="U55" s="256" t="str">
        <f>IFERROR(__xludf.DUMMYFUNCTION("""COMPUTED_VALUE"""),"いいえ")</f>
        <v>いいえ</v>
      </c>
      <c r="V55" s="256" t="str">
        <f>IFERROR(__xludf.DUMMYFUNCTION("""COMPUTED_VALUE"""),"いいえ")</f>
        <v>いいえ</v>
      </c>
      <c r="W55" s="261"/>
      <c r="X55" s="259" t="str">
        <f>IFERROR(__xludf.DUMMYFUNCTION("""COMPUTED_VALUE"""),"半年ぶりにバイクに乗ります。右がクラッチで左が前のブレーキでしたよね？完走目指してがんばります")</f>
        <v>半年ぶりにバイクに乗ります。右がクラッチで左が前のブレーキでしたよね？完走目指してがんばります</v>
      </c>
      <c r="Y55" s="262"/>
    </row>
    <row r="56">
      <c r="A56" s="248"/>
      <c r="B56" s="249">
        <f>IFERROR(__xludf.DUMMYFUNCTION("""COMPUTED_VALUE"""),51.0)</f>
        <v>51</v>
      </c>
      <c r="C56" s="249" t="str">
        <f>IFERROR(__xludf.DUMMYFUNCTION("""COMPUTED_VALUE"""),"B")</f>
        <v>B</v>
      </c>
      <c r="D56" s="249" t="str">
        <f>IFERROR(__xludf.DUMMYFUNCTION("""COMPUTED_VALUE"""),"-")</f>
        <v>-</v>
      </c>
      <c r="E56" s="250" t="str">
        <f>IFERROR(__xludf.DUMMYFUNCTION("""COMPUTED_VALUE"""),"motoDA")</f>
        <v>motoDA</v>
      </c>
      <c r="F56" s="263" t="str">
        <f>IFERROR(__xludf.DUMMYFUNCTION("""COMPUTED_VALUE"""),"参加")</f>
        <v>参加</v>
      </c>
      <c r="G56" s="263" t="str">
        <f>IFERROR(__xludf.DUMMYFUNCTION("""COMPUTED_VALUE"""),"-")</f>
        <v>-</v>
      </c>
      <c r="H56" s="263">
        <f>IFERROR(__xludf.DUMMYFUNCTION("""COMPUTED_VALUE"""),50.0)</f>
        <v>50</v>
      </c>
      <c r="I56" s="258">
        <f>IFERROR(__xludf.DUMMYFUNCTION("""COMPUTED_VALUE"""),45718.65531935185)</f>
        <v>45718.65532</v>
      </c>
      <c r="J56" s="259" t="str">
        <f>IFERROR(__xludf.DUMMYFUNCTION("""COMPUTED_VALUE"""),"はい")</f>
        <v>はい</v>
      </c>
      <c r="K56" s="259" t="str">
        <f>IFERROR(__xludf.DUMMYFUNCTION("""COMPUTED_VALUE"""),"元田 哲")</f>
        <v>元田 哲</v>
      </c>
      <c r="L56" s="259" t="str">
        <f>IFERROR(__xludf.DUMMYFUNCTION("""COMPUTED_VALUE"""),"motoDA")</f>
        <v>motoDA</v>
      </c>
      <c r="M56" s="260" t="str">
        <f>IFERROR(__xludf.DUMMYFUNCTION("""COMPUTED_VALUE"""),"選手名")</f>
        <v>選手名</v>
      </c>
      <c r="N56" s="259" t="str">
        <f>IFERROR(__xludf.DUMMYFUNCTION("""COMPUTED_VALUE"""),"GROM")</f>
        <v>GROM</v>
      </c>
      <c r="O56" s="259" t="str">
        <f>IFERROR(__xludf.DUMMYFUNCTION("""COMPUTED_VALUE"""),"GROM王カラー")</f>
        <v>GROM王カラー</v>
      </c>
      <c r="P56" s="259" t="str">
        <f>IFERROR(__xludf.DUMMYFUNCTION("""COMPUTED_VALUE"""),"B級")</f>
        <v>B級</v>
      </c>
      <c r="Q56" s="261"/>
      <c r="R56" s="261"/>
      <c r="S56" s="261"/>
      <c r="T56" s="261"/>
      <c r="U56" s="256" t="str">
        <f>IFERROR(__xludf.DUMMYFUNCTION("""COMPUTED_VALUE"""),"いいえ")</f>
        <v>いいえ</v>
      </c>
      <c r="V56" s="256" t="str">
        <f>IFERROR(__xludf.DUMMYFUNCTION("""COMPUTED_VALUE"""),"いいえ")</f>
        <v>いいえ</v>
      </c>
      <c r="W56" s="261"/>
      <c r="X56" s="259" t="str">
        <f>IFERROR(__xludf.DUMMYFUNCTION("""COMPUTED_VALUE"""),"トミンでドm野さんに負けたのでリベンジしたくて申し込みました")</f>
        <v>トミンでドm野さんに負けたのでリベンジしたくて申し込みました</v>
      </c>
      <c r="Y56" s="262"/>
    </row>
    <row r="57">
      <c r="A57" s="248"/>
      <c r="B57" s="249">
        <f>IFERROR(__xludf.DUMMYFUNCTION("""COMPUTED_VALUE"""),40.0)</f>
        <v>40</v>
      </c>
      <c r="C57" s="249" t="str">
        <f>IFERROR(__xludf.DUMMYFUNCTION("""COMPUTED_VALUE"""),"C1")</f>
        <v>C1</v>
      </c>
      <c r="D57" s="249" t="str">
        <f>IFERROR(__xludf.DUMMYFUNCTION("""COMPUTED_VALUE"""),"-")</f>
        <v>-</v>
      </c>
      <c r="E57" s="250" t="str">
        <f>IFERROR(__xludf.DUMMYFUNCTION("""COMPUTED_VALUE"""),"組長")</f>
        <v>組長</v>
      </c>
      <c r="F57" s="263" t="str">
        <f>IFERROR(__xludf.DUMMYFUNCTION("""COMPUTED_VALUE"""),"参加")</f>
        <v>参加</v>
      </c>
      <c r="G57" s="263" t="str">
        <f>IFERROR(__xludf.DUMMYFUNCTION("""COMPUTED_VALUE"""),"前半：スタート位置担当")</f>
        <v>前半：スタート位置担当</v>
      </c>
      <c r="H57" s="263">
        <f>IFERROR(__xludf.DUMMYFUNCTION("""COMPUTED_VALUE"""),39.0)</f>
        <v>39</v>
      </c>
      <c r="I57" s="258">
        <f>IFERROR(__xludf.DUMMYFUNCTION("""COMPUTED_VALUE"""),45718.66088451388)</f>
        <v>45718.66088</v>
      </c>
      <c r="J57" s="259" t="str">
        <f>IFERROR(__xludf.DUMMYFUNCTION("""COMPUTED_VALUE"""),"はい")</f>
        <v>はい</v>
      </c>
      <c r="K57" s="259" t="str">
        <f>IFERROR(__xludf.DUMMYFUNCTION("""COMPUTED_VALUE"""),"藤原淳司")</f>
        <v>藤原淳司</v>
      </c>
      <c r="L57" s="259" t="str">
        <f>IFERROR(__xludf.DUMMYFUNCTION("""COMPUTED_VALUE"""),"組長")</f>
        <v>組長</v>
      </c>
      <c r="M57" s="259" t="str">
        <f>IFERROR(__xludf.DUMMYFUNCTION("""COMPUTED_VALUE"""),"選手名")</f>
        <v>選手名</v>
      </c>
      <c r="N57" s="259" t="str">
        <f>IFERROR(__xludf.DUMMYFUNCTION("""COMPUTED_VALUE"""),"GSX-R1000")</f>
        <v>GSX-R1000</v>
      </c>
      <c r="O57" s="259" t="str">
        <f>IFERROR(__xludf.DUMMYFUNCTION("""COMPUTED_VALUE"""),"白")</f>
        <v>白</v>
      </c>
      <c r="P57" s="260" t="str">
        <f>IFERROR(__xludf.DUMMYFUNCTION("""COMPUTED_VALUE"""),"C1級")</f>
        <v>C1級</v>
      </c>
      <c r="Q57" s="261"/>
      <c r="R57" s="261"/>
      <c r="S57" s="261"/>
      <c r="T57" s="261"/>
      <c r="U57" s="256" t="str">
        <f>IFERROR(__xludf.DUMMYFUNCTION("""COMPUTED_VALUE"""),"いいえ")</f>
        <v>いいえ</v>
      </c>
      <c r="V57" s="256" t="str">
        <f>IFERROR(__xludf.DUMMYFUNCTION("""COMPUTED_VALUE"""),"いいえ")</f>
        <v>いいえ</v>
      </c>
      <c r="W57" s="261"/>
      <c r="X57" s="259" t="str">
        <f>IFERROR(__xludf.DUMMYFUNCTION("""COMPUTED_VALUE"""),"定年まであと175日です。")</f>
        <v>定年まであと175日です。</v>
      </c>
      <c r="Y57" s="262"/>
    </row>
    <row r="58">
      <c r="A58" s="248"/>
      <c r="B58" s="249">
        <f>IFERROR(__xludf.DUMMYFUNCTION("""COMPUTED_VALUE"""),49.0)</f>
        <v>49</v>
      </c>
      <c r="C58" s="249" t="str">
        <f>IFERROR(__xludf.DUMMYFUNCTION("""COMPUTED_VALUE"""),"B")</f>
        <v>B</v>
      </c>
      <c r="D58" s="249" t="str">
        <f>IFERROR(__xludf.DUMMYFUNCTION("""COMPUTED_VALUE"""),"-")</f>
        <v>-</v>
      </c>
      <c r="E58" s="250" t="str">
        <f>IFERROR(__xludf.DUMMYFUNCTION("""COMPUTED_VALUE"""),"てくきか")</f>
        <v>てくきか</v>
      </c>
      <c r="F58" s="263" t="str">
        <f>IFERROR(__xludf.DUMMYFUNCTION("""COMPUTED_VALUE"""),"参加")</f>
        <v>参加</v>
      </c>
      <c r="G58" s="263" t="str">
        <f>IFERROR(__xludf.DUMMYFUNCTION("""COMPUTED_VALUE"""),"-")</f>
        <v>-</v>
      </c>
      <c r="H58" s="263">
        <f>IFERROR(__xludf.DUMMYFUNCTION("""COMPUTED_VALUE"""),48.0)</f>
        <v>48</v>
      </c>
      <c r="I58" s="258">
        <f>IFERROR(__xludf.DUMMYFUNCTION("""COMPUTED_VALUE"""),45718.98507108796)</f>
        <v>45718.98507</v>
      </c>
      <c r="J58" s="259" t="str">
        <f>IFERROR(__xludf.DUMMYFUNCTION("""COMPUTED_VALUE"""),"はい")</f>
        <v>はい</v>
      </c>
      <c r="K58" s="259" t="str">
        <f>IFERROR(__xludf.DUMMYFUNCTION("""COMPUTED_VALUE"""),"小笠原 雄一")</f>
        <v>小笠原 雄一</v>
      </c>
      <c r="L58" s="259" t="str">
        <f>IFERROR(__xludf.DUMMYFUNCTION("""COMPUTED_VALUE"""),"てくきか")</f>
        <v>てくきか</v>
      </c>
      <c r="M58" s="259" t="str">
        <f>IFERROR(__xludf.DUMMYFUNCTION("""COMPUTED_VALUE"""),"選手名")</f>
        <v>選手名</v>
      </c>
      <c r="N58" s="259" t="str">
        <f>IFERROR(__xludf.DUMMYFUNCTION("""COMPUTED_VALUE"""),"ZX-4R")</f>
        <v>ZX-4R</v>
      </c>
      <c r="O58" s="259" t="str">
        <f>IFERROR(__xludf.DUMMYFUNCTION("""COMPUTED_VALUE"""),"黒")</f>
        <v>黒</v>
      </c>
      <c r="P58" s="259" t="str">
        <f>IFERROR(__xludf.DUMMYFUNCTION("""COMPUTED_VALUE"""),"B級")</f>
        <v>B級</v>
      </c>
      <c r="Q58" s="261"/>
      <c r="R58" s="261"/>
      <c r="S58" s="261"/>
      <c r="T58" s="261"/>
      <c r="U58" s="256" t="str">
        <f>IFERROR(__xludf.DUMMYFUNCTION("""COMPUTED_VALUE"""),"いいえ")</f>
        <v>いいえ</v>
      </c>
      <c r="V58" s="256" t="str">
        <f>IFERROR(__xludf.DUMMYFUNCTION("""COMPUTED_VALUE"""),"いいえ")</f>
        <v>いいえ</v>
      </c>
      <c r="W58" s="261"/>
      <c r="X58" s="259" t="str">
        <f>IFERROR(__xludf.DUMMYFUNCTION("""COMPUTED_VALUE"""),"レインボー初大会に記念参加してみました、よろしくお願いします。")</f>
        <v>レインボー初大会に記念参加してみました、よろしくお願いします。</v>
      </c>
      <c r="Y58" s="262"/>
    </row>
    <row r="59">
      <c r="A59" s="248"/>
      <c r="B59" s="249">
        <f>IFERROR(__xludf.DUMMYFUNCTION("""COMPUTED_VALUE"""),28.0)</f>
        <v>28</v>
      </c>
      <c r="C59" s="249" t="str">
        <f>IFERROR(__xludf.DUMMYFUNCTION("""COMPUTED_VALUE"""),"C2")</f>
        <v>C2</v>
      </c>
      <c r="D59" s="249" t="str">
        <f>IFERROR(__xludf.DUMMYFUNCTION("""COMPUTED_VALUE"""),"-")</f>
        <v>-</v>
      </c>
      <c r="E59" s="250" t="str">
        <f>IFERROR(__xludf.DUMMYFUNCTION("""COMPUTED_VALUE"""),"かおる")</f>
        <v>かおる</v>
      </c>
      <c r="F59" s="263" t="str">
        <f>IFERROR(__xludf.DUMMYFUNCTION("""COMPUTED_VALUE"""),"参加")</f>
        <v>参加</v>
      </c>
      <c r="G59" s="263"/>
      <c r="H59" s="263" t="str">
        <f>IFERROR(__xludf.DUMMYFUNCTION("""COMPUTED_VALUE"""),"#N/A")</f>
        <v>#N/A</v>
      </c>
      <c r="I59" s="258">
        <f>IFERROR(__xludf.DUMMYFUNCTION("""COMPUTED_VALUE"""),45721.55295052083)</f>
        <v>45721.55295</v>
      </c>
      <c r="J59" s="259" t="str">
        <f>IFERROR(__xludf.DUMMYFUNCTION("""COMPUTED_VALUE"""),"はい")</f>
        <v>はい</v>
      </c>
      <c r="K59" s="259" t="str">
        <f>IFERROR(__xludf.DUMMYFUNCTION("""COMPUTED_VALUE"""),"小島　かおる")</f>
        <v>小島　かおる</v>
      </c>
      <c r="L59" s="259" t="str">
        <f>IFERROR(__xludf.DUMMYFUNCTION("""COMPUTED_VALUE"""),"かおる")</f>
        <v>かおる</v>
      </c>
      <c r="M59" s="259" t="str">
        <f>IFERROR(__xludf.DUMMYFUNCTION("""COMPUTED_VALUE"""),"選手名")</f>
        <v>選手名</v>
      </c>
      <c r="N59" s="259" t="str">
        <f>IFERROR(__xludf.DUMMYFUNCTION("""COMPUTED_VALUE"""),"VTR250")</f>
        <v>VTR250</v>
      </c>
      <c r="O59" s="259" t="str">
        <f>IFERROR(__xludf.DUMMYFUNCTION("""COMPUTED_VALUE"""),"青")</f>
        <v>青</v>
      </c>
      <c r="P59" s="260" t="str">
        <f>IFERROR(__xludf.DUMMYFUNCTION("""COMPUTED_VALUE"""),"C2級")</f>
        <v>C2級</v>
      </c>
      <c r="Q59" s="261"/>
      <c r="R59" s="261"/>
      <c r="S59" s="261"/>
      <c r="T59" s="261"/>
      <c r="U59" s="256" t="str">
        <f>IFERROR(__xludf.DUMMYFUNCTION("""COMPUTED_VALUE"""),"いいえ")</f>
        <v>いいえ</v>
      </c>
      <c r="V59" s="256" t="str">
        <f>IFERROR(__xludf.DUMMYFUNCTION("""COMPUTED_VALUE"""),"いいえ")</f>
        <v>いいえ</v>
      </c>
      <c r="W59" s="261"/>
      <c r="X59" s="259" t="str">
        <f>IFERROR(__xludf.DUMMYFUNCTION("""COMPUTED_VALUE"""),"楽しく走れたらいいな")</f>
        <v>楽しく走れたらいいな</v>
      </c>
      <c r="Y59" s="262"/>
    </row>
    <row r="60">
      <c r="A60" s="248"/>
      <c r="B60" s="249" t="str">
        <f>IFERROR(__xludf.DUMMYFUNCTION("""COMPUTED_VALUE"""),"")</f>
        <v/>
      </c>
      <c r="C60" s="249" t="str">
        <f>IFERROR(__xludf.DUMMYFUNCTION("""COMPUTED_VALUE"""),"")</f>
        <v/>
      </c>
      <c r="D60" s="249" t="str">
        <f>IFERROR(__xludf.DUMMYFUNCTION("""COMPUTED_VALUE"""),"-")</f>
        <v>-</v>
      </c>
      <c r="E60" s="249" t="b">
        <f>IFERROR(__xludf.DUMMYFUNCTION("""COMPUTED_VALUE"""),FALSE)</f>
        <v>0</v>
      </c>
      <c r="F60" s="263" t="str">
        <f>IFERROR(__xludf.DUMMYFUNCTION("""COMPUTED_VALUE"""),"-")</f>
        <v>-</v>
      </c>
      <c r="G60" s="263"/>
      <c r="H60" s="263"/>
      <c r="I60" s="258"/>
      <c r="J60" s="261"/>
      <c r="K60" s="261"/>
      <c r="L60" s="261"/>
      <c r="M60" s="261"/>
      <c r="N60" s="261"/>
      <c r="O60" s="261"/>
      <c r="P60" s="261"/>
      <c r="Q60" s="261"/>
      <c r="R60" s="261"/>
      <c r="S60" s="261"/>
      <c r="T60" s="261"/>
      <c r="U60" s="255"/>
      <c r="V60" s="255"/>
      <c r="W60" s="261"/>
      <c r="X60" s="261"/>
      <c r="Y60" s="262"/>
    </row>
    <row r="61">
      <c r="A61" s="248"/>
      <c r="B61" s="249" t="str">
        <f>IFERROR(__xludf.DUMMYFUNCTION("""COMPUTED_VALUE"""),"")</f>
        <v/>
      </c>
      <c r="C61" s="249" t="str">
        <f>IFERROR(__xludf.DUMMYFUNCTION("""COMPUTED_VALUE"""),"")</f>
        <v/>
      </c>
      <c r="D61" s="249" t="str">
        <f>IFERROR(__xludf.DUMMYFUNCTION("""COMPUTED_VALUE"""),"-")</f>
        <v>-</v>
      </c>
      <c r="E61" s="249" t="b">
        <f>IFERROR(__xludf.DUMMYFUNCTION("""COMPUTED_VALUE"""),FALSE)</f>
        <v>0</v>
      </c>
      <c r="F61" s="263" t="str">
        <f>IFERROR(__xludf.DUMMYFUNCTION("""COMPUTED_VALUE"""),"-")</f>
        <v>-</v>
      </c>
      <c r="G61" s="263"/>
      <c r="H61" s="263"/>
      <c r="I61" s="258"/>
      <c r="J61" s="261"/>
      <c r="K61" s="261"/>
      <c r="L61" s="261"/>
      <c r="M61" s="261"/>
      <c r="N61" s="261"/>
      <c r="O61" s="261"/>
      <c r="P61" s="264"/>
      <c r="Q61" s="261"/>
      <c r="R61" s="261"/>
      <c r="S61" s="261"/>
      <c r="T61" s="261"/>
      <c r="U61" s="255"/>
      <c r="V61" s="255"/>
      <c r="W61" s="261"/>
      <c r="X61" s="261"/>
      <c r="Y61" s="262"/>
    </row>
    <row r="62">
      <c r="A62" s="248"/>
      <c r="B62" s="249" t="str">
        <f>IFERROR(__xludf.DUMMYFUNCTION("""COMPUTED_VALUE"""),"")</f>
        <v/>
      </c>
      <c r="C62" s="249" t="str">
        <f>IFERROR(__xludf.DUMMYFUNCTION("""COMPUTED_VALUE"""),"")</f>
        <v/>
      </c>
      <c r="D62" s="249" t="str">
        <f>IFERROR(__xludf.DUMMYFUNCTION("""COMPUTED_VALUE"""),"-")</f>
        <v>-</v>
      </c>
      <c r="E62" s="249" t="b">
        <f>IFERROR(__xludf.DUMMYFUNCTION("""COMPUTED_VALUE"""),FALSE)</f>
        <v>0</v>
      </c>
      <c r="F62" s="263" t="str">
        <f>IFERROR(__xludf.DUMMYFUNCTION("""COMPUTED_VALUE"""),"-")</f>
        <v>-</v>
      </c>
      <c r="G62" s="263"/>
      <c r="H62" s="263"/>
      <c r="I62" s="258"/>
      <c r="J62" s="261"/>
      <c r="K62" s="261"/>
      <c r="L62" s="261"/>
      <c r="M62" s="264"/>
      <c r="N62" s="261"/>
      <c r="O62" s="261"/>
      <c r="P62" s="264"/>
      <c r="Q62" s="261"/>
      <c r="R62" s="261"/>
      <c r="S62" s="261"/>
      <c r="T62" s="261"/>
      <c r="U62" s="255"/>
      <c r="V62" s="255"/>
      <c r="W62" s="261"/>
      <c r="X62" s="261"/>
      <c r="Y62" s="262"/>
    </row>
    <row r="63">
      <c r="A63" s="248"/>
      <c r="B63" s="249" t="str">
        <f>IFERROR(__xludf.DUMMYFUNCTION("""COMPUTED_VALUE"""),"")</f>
        <v/>
      </c>
      <c r="C63" s="249" t="str">
        <f>IFERROR(__xludf.DUMMYFUNCTION("""COMPUTED_VALUE"""),"")</f>
        <v/>
      </c>
      <c r="D63" s="249" t="str">
        <f>IFERROR(__xludf.DUMMYFUNCTION("""COMPUTED_VALUE"""),"-")</f>
        <v>-</v>
      </c>
      <c r="E63" s="249" t="b">
        <f>IFERROR(__xludf.DUMMYFUNCTION("""COMPUTED_VALUE"""),FALSE)</f>
        <v>0</v>
      </c>
      <c r="F63" s="263" t="str">
        <f>IFERROR(__xludf.DUMMYFUNCTION("""COMPUTED_VALUE"""),"-")</f>
        <v>-</v>
      </c>
      <c r="G63" s="263"/>
      <c r="H63" s="263"/>
      <c r="I63" s="258"/>
      <c r="J63" s="261"/>
      <c r="K63" s="261"/>
      <c r="L63" s="261"/>
      <c r="M63" s="261"/>
      <c r="N63" s="261"/>
      <c r="O63" s="261"/>
      <c r="P63" s="264"/>
      <c r="Q63" s="261"/>
      <c r="R63" s="261"/>
      <c r="S63" s="261"/>
      <c r="T63" s="261"/>
      <c r="U63" s="255"/>
      <c r="V63" s="255"/>
      <c r="W63" s="261"/>
      <c r="X63" s="261"/>
      <c r="Y63" s="262"/>
    </row>
    <row r="64">
      <c r="A64" s="248"/>
      <c r="B64" s="249" t="str">
        <f>IFERROR(__xludf.DUMMYFUNCTION("""COMPUTED_VALUE"""),"")</f>
        <v/>
      </c>
      <c r="C64" s="249" t="str">
        <f>IFERROR(__xludf.DUMMYFUNCTION("""COMPUTED_VALUE"""),"")</f>
        <v/>
      </c>
      <c r="D64" s="249" t="str">
        <f>IFERROR(__xludf.DUMMYFUNCTION("""COMPUTED_VALUE"""),"-")</f>
        <v>-</v>
      </c>
      <c r="E64" s="249" t="b">
        <f>IFERROR(__xludf.DUMMYFUNCTION("""COMPUTED_VALUE"""),FALSE)</f>
        <v>0</v>
      </c>
      <c r="F64" s="263" t="str">
        <f>IFERROR(__xludf.DUMMYFUNCTION("""COMPUTED_VALUE"""),"-")</f>
        <v>-</v>
      </c>
      <c r="G64" s="263"/>
      <c r="H64" s="263"/>
      <c r="I64" s="258"/>
      <c r="J64" s="261"/>
      <c r="K64" s="261"/>
      <c r="L64" s="261"/>
      <c r="M64" s="261"/>
      <c r="N64" s="261"/>
      <c r="O64" s="261"/>
      <c r="P64" s="261"/>
      <c r="Q64" s="261"/>
      <c r="R64" s="261"/>
      <c r="S64" s="261"/>
      <c r="T64" s="261"/>
      <c r="U64" s="255"/>
      <c r="V64" s="255"/>
      <c r="W64" s="261"/>
      <c r="X64" s="261"/>
      <c r="Y64" s="262"/>
    </row>
    <row r="65">
      <c r="A65" s="248"/>
      <c r="B65" s="249" t="str">
        <f>IFERROR(__xludf.DUMMYFUNCTION("""COMPUTED_VALUE"""),"")</f>
        <v/>
      </c>
      <c r="C65" s="249" t="str">
        <f>IFERROR(__xludf.DUMMYFUNCTION("""COMPUTED_VALUE"""),"")</f>
        <v/>
      </c>
      <c r="D65" s="249" t="str">
        <f>IFERROR(__xludf.DUMMYFUNCTION("""COMPUTED_VALUE"""),"-")</f>
        <v>-</v>
      </c>
      <c r="E65" s="249" t="b">
        <f>IFERROR(__xludf.DUMMYFUNCTION("""COMPUTED_VALUE"""),FALSE)</f>
        <v>0</v>
      </c>
      <c r="F65" s="263" t="str">
        <f>IFERROR(__xludf.DUMMYFUNCTION("""COMPUTED_VALUE"""),"-")</f>
        <v>-</v>
      </c>
      <c r="G65" s="263"/>
      <c r="H65" s="263"/>
      <c r="I65" s="258"/>
      <c r="J65" s="261"/>
      <c r="K65" s="261"/>
      <c r="L65" s="261"/>
      <c r="M65" s="261"/>
      <c r="N65" s="261"/>
      <c r="O65" s="261"/>
      <c r="P65" s="264"/>
      <c r="Q65" s="261"/>
      <c r="R65" s="261"/>
      <c r="S65" s="261"/>
      <c r="T65" s="261"/>
      <c r="U65" s="255"/>
      <c r="V65" s="255"/>
      <c r="W65" s="261"/>
      <c r="X65" s="261"/>
      <c r="Y65" s="262"/>
    </row>
    <row r="66">
      <c r="A66" s="248"/>
      <c r="B66" s="249" t="str">
        <f>IFERROR(__xludf.DUMMYFUNCTION("""COMPUTED_VALUE"""),"")</f>
        <v/>
      </c>
      <c r="C66" s="249" t="str">
        <f>IFERROR(__xludf.DUMMYFUNCTION("""COMPUTED_VALUE"""),"")</f>
        <v/>
      </c>
      <c r="D66" s="249" t="str">
        <f>IFERROR(__xludf.DUMMYFUNCTION("""COMPUTED_VALUE"""),"-")</f>
        <v>-</v>
      </c>
      <c r="E66" s="249" t="b">
        <f>IFERROR(__xludf.DUMMYFUNCTION("""COMPUTED_VALUE"""),FALSE)</f>
        <v>0</v>
      </c>
      <c r="F66" s="263" t="str">
        <f>IFERROR(__xludf.DUMMYFUNCTION("""COMPUTED_VALUE"""),"-")</f>
        <v>-</v>
      </c>
      <c r="G66" s="263"/>
      <c r="H66" s="263"/>
      <c r="I66" s="258"/>
      <c r="J66" s="261"/>
      <c r="K66" s="261"/>
      <c r="L66" s="261"/>
      <c r="M66" s="261"/>
      <c r="N66" s="261"/>
      <c r="O66" s="261"/>
      <c r="P66" s="261"/>
      <c r="Q66" s="261"/>
      <c r="R66" s="261"/>
      <c r="S66" s="261"/>
      <c r="T66" s="261"/>
      <c r="U66" s="255"/>
      <c r="V66" s="255"/>
      <c r="W66" s="261"/>
      <c r="X66" s="261"/>
      <c r="Y66" s="262"/>
    </row>
    <row r="67">
      <c r="A67" s="248"/>
      <c r="B67" s="249" t="str">
        <f>IFERROR(__xludf.DUMMYFUNCTION("""COMPUTED_VALUE"""),"")</f>
        <v/>
      </c>
      <c r="C67" s="249" t="str">
        <f>IFERROR(__xludf.DUMMYFUNCTION("""COMPUTED_VALUE"""),"")</f>
        <v/>
      </c>
      <c r="D67" s="249" t="str">
        <f>IFERROR(__xludf.DUMMYFUNCTION("""COMPUTED_VALUE"""),"-")</f>
        <v>-</v>
      </c>
      <c r="E67" s="249" t="b">
        <f>IFERROR(__xludf.DUMMYFUNCTION("""COMPUTED_VALUE"""),FALSE)</f>
        <v>0</v>
      </c>
      <c r="F67" s="263" t="str">
        <f>IFERROR(__xludf.DUMMYFUNCTION("""COMPUTED_VALUE"""),"-")</f>
        <v>-</v>
      </c>
      <c r="G67" s="263"/>
      <c r="H67" s="263"/>
      <c r="I67" s="258"/>
      <c r="J67" s="261"/>
      <c r="K67" s="261"/>
      <c r="L67" s="261"/>
      <c r="M67" s="261"/>
      <c r="N67" s="261"/>
      <c r="O67" s="261"/>
      <c r="P67" s="264"/>
      <c r="Q67" s="261"/>
      <c r="R67" s="261"/>
      <c r="S67" s="261"/>
      <c r="T67" s="261"/>
      <c r="U67" s="255"/>
      <c r="V67" s="255"/>
      <c r="W67" s="261"/>
      <c r="X67" s="261"/>
      <c r="Y67" s="262"/>
    </row>
    <row r="68">
      <c r="A68" s="248"/>
      <c r="B68" s="249" t="str">
        <f>IFERROR(__xludf.DUMMYFUNCTION("""COMPUTED_VALUE"""),"")</f>
        <v/>
      </c>
      <c r="C68" s="249" t="str">
        <f>IFERROR(__xludf.DUMMYFUNCTION("""COMPUTED_VALUE"""),"")</f>
        <v/>
      </c>
      <c r="D68" s="249" t="str">
        <f>IFERROR(__xludf.DUMMYFUNCTION("""COMPUTED_VALUE"""),"-")</f>
        <v>-</v>
      </c>
      <c r="E68" s="249" t="b">
        <f>IFERROR(__xludf.DUMMYFUNCTION("""COMPUTED_VALUE"""),FALSE)</f>
        <v>0</v>
      </c>
      <c r="F68" s="263" t="str">
        <f>IFERROR(__xludf.DUMMYFUNCTION("""COMPUTED_VALUE"""),"-")</f>
        <v>-</v>
      </c>
      <c r="G68" s="263"/>
      <c r="H68" s="263"/>
      <c r="I68" s="258"/>
      <c r="J68" s="261"/>
      <c r="K68" s="261"/>
      <c r="L68" s="261"/>
      <c r="M68" s="261"/>
      <c r="N68" s="261"/>
      <c r="O68" s="261"/>
      <c r="P68" s="264"/>
      <c r="Q68" s="261"/>
      <c r="R68" s="261"/>
      <c r="S68" s="261"/>
      <c r="T68" s="261"/>
      <c r="U68" s="255"/>
      <c r="V68" s="255"/>
      <c r="W68" s="261"/>
      <c r="X68" s="261"/>
      <c r="Y68" s="262"/>
    </row>
    <row r="69">
      <c r="A69" s="248"/>
      <c r="B69" s="249" t="str">
        <f>IFERROR(__xludf.DUMMYFUNCTION("""COMPUTED_VALUE"""),"")</f>
        <v/>
      </c>
      <c r="C69" s="249" t="str">
        <f>IFERROR(__xludf.DUMMYFUNCTION("""COMPUTED_VALUE"""),"")</f>
        <v/>
      </c>
      <c r="D69" s="249" t="str">
        <f>IFERROR(__xludf.DUMMYFUNCTION("""COMPUTED_VALUE"""),"-")</f>
        <v>-</v>
      </c>
      <c r="E69" s="249" t="b">
        <f>IFERROR(__xludf.DUMMYFUNCTION("""COMPUTED_VALUE"""),FALSE)</f>
        <v>0</v>
      </c>
      <c r="F69" s="263" t="str">
        <f>IFERROR(__xludf.DUMMYFUNCTION("""COMPUTED_VALUE"""),"-")</f>
        <v>-</v>
      </c>
      <c r="G69" s="263"/>
      <c r="H69" s="263"/>
      <c r="I69" s="258"/>
      <c r="J69" s="261"/>
      <c r="K69" s="261"/>
      <c r="L69" s="261"/>
      <c r="M69" s="261"/>
      <c r="N69" s="261"/>
      <c r="O69" s="261"/>
      <c r="P69" s="261"/>
      <c r="Q69" s="261"/>
      <c r="R69" s="261"/>
      <c r="S69" s="261"/>
      <c r="T69" s="261"/>
      <c r="U69" s="255"/>
      <c r="V69" s="255"/>
      <c r="W69" s="261"/>
      <c r="X69" s="261"/>
      <c r="Y69" s="262"/>
    </row>
    <row r="70">
      <c r="A70" s="248"/>
      <c r="B70" s="249" t="str">
        <f>IFERROR(__xludf.DUMMYFUNCTION("""COMPUTED_VALUE"""),"")</f>
        <v/>
      </c>
      <c r="C70" s="249" t="str">
        <f>IFERROR(__xludf.DUMMYFUNCTION("""COMPUTED_VALUE"""),"")</f>
        <v/>
      </c>
      <c r="D70" s="249" t="str">
        <f>IFERROR(__xludf.DUMMYFUNCTION("""COMPUTED_VALUE"""),"-")</f>
        <v>-</v>
      </c>
      <c r="E70" s="249" t="b">
        <f>IFERROR(__xludf.DUMMYFUNCTION("""COMPUTED_VALUE"""),FALSE)</f>
        <v>0</v>
      </c>
      <c r="F70" s="263" t="str">
        <f>IFERROR(__xludf.DUMMYFUNCTION("""COMPUTED_VALUE"""),"-")</f>
        <v>-</v>
      </c>
      <c r="G70" s="263"/>
      <c r="H70" s="263"/>
      <c r="I70" s="258"/>
      <c r="J70" s="261"/>
      <c r="K70" s="261"/>
      <c r="L70" s="261"/>
      <c r="M70" s="261"/>
      <c r="N70" s="261"/>
      <c r="O70" s="261"/>
      <c r="P70" s="261"/>
      <c r="Q70" s="261"/>
      <c r="R70" s="261"/>
      <c r="S70" s="261"/>
      <c r="T70" s="261"/>
      <c r="U70" s="255"/>
      <c r="V70" s="255"/>
      <c r="W70" s="261"/>
      <c r="X70" s="261"/>
      <c r="Y70" s="262"/>
    </row>
    <row r="71">
      <c r="A71" s="248"/>
      <c r="B71" s="249" t="str">
        <f>IFERROR(__xludf.DUMMYFUNCTION("""COMPUTED_VALUE"""),"")</f>
        <v/>
      </c>
      <c r="C71" s="249" t="str">
        <f>IFERROR(__xludf.DUMMYFUNCTION("""COMPUTED_VALUE"""),"")</f>
        <v/>
      </c>
      <c r="D71" s="249" t="str">
        <f>IFERROR(__xludf.DUMMYFUNCTION("""COMPUTED_VALUE"""),"-")</f>
        <v>-</v>
      </c>
      <c r="E71" s="249" t="b">
        <f>IFERROR(__xludf.DUMMYFUNCTION("""COMPUTED_VALUE"""),FALSE)</f>
        <v>0</v>
      </c>
      <c r="F71" s="263" t="str">
        <f>IFERROR(__xludf.DUMMYFUNCTION("""COMPUTED_VALUE"""),"-")</f>
        <v>-</v>
      </c>
      <c r="G71" s="263"/>
      <c r="H71" s="263"/>
      <c r="I71" s="258"/>
      <c r="J71" s="261"/>
      <c r="K71" s="261"/>
      <c r="L71" s="261"/>
      <c r="M71" s="261"/>
      <c r="N71" s="261"/>
      <c r="O71" s="261"/>
      <c r="P71" s="264"/>
      <c r="Q71" s="261"/>
      <c r="R71" s="261"/>
      <c r="S71" s="261"/>
      <c r="T71" s="261"/>
      <c r="U71" s="255"/>
      <c r="V71" s="255"/>
      <c r="W71" s="261"/>
      <c r="X71" s="261"/>
      <c r="Y71" s="262"/>
    </row>
    <row r="72">
      <c r="A72" s="248"/>
      <c r="B72" s="249" t="str">
        <f>IFERROR(__xludf.DUMMYFUNCTION("""COMPUTED_VALUE"""),"")</f>
        <v/>
      </c>
      <c r="C72" s="249" t="str">
        <f>IFERROR(__xludf.DUMMYFUNCTION("""COMPUTED_VALUE"""),"")</f>
        <v/>
      </c>
      <c r="D72" s="249" t="str">
        <f>IFERROR(__xludf.DUMMYFUNCTION("""COMPUTED_VALUE"""),"-")</f>
        <v>-</v>
      </c>
      <c r="E72" s="249" t="b">
        <f>IFERROR(__xludf.DUMMYFUNCTION("""COMPUTED_VALUE"""),FALSE)</f>
        <v>0</v>
      </c>
      <c r="F72" s="263" t="str">
        <f>IFERROR(__xludf.DUMMYFUNCTION("""COMPUTED_VALUE"""),"-")</f>
        <v>-</v>
      </c>
      <c r="G72" s="263"/>
      <c r="H72" s="263"/>
      <c r="I72" s="258"/>
      <c r="J72" s="261"/>
      <c r="K72" s="261"/>
      <c r="L72" s="261"/>
      <c r="M72" s="264"/>
      <c r="N72" s="261"/>
      <c r="O72" s="261"/>
      <c r="P72" s="264"/>
      <c r="Q72" s="261"/>
      <c r="R72" s="261"/>
      <c r="S72" s="261"/>
      <c r="T72" s="261"/>
      <c r="U72" s="255"/>
      <c r="V72" s="255"/>
      <c r="W72" s="261"/>
      <c r="X72" s="261"/>
      <c r="Y72" s="262"/>
    </row>
    <row r="73">
      <c r="A73" s="248"/>
      <c r="B73" s="249" t="str">
        <f>IFERROR(__xludf.DUMMYFUNCTION("""COMPUTED_VALUE"""),"")</f>
        <v/>
      </c>
      <c r="C73" s="249" t="str">
        <f>IFERROR(__xludf.DUMMYFUNCTION("""COMPUTED_VALUE"""),"")</f>
        <v/>
      </c>
      <c r="D73" s="249" t="str">
        <f>IFERROR(__xludf.DUMMYFUNCTION("""COMPUTED_VALUE"""),"-")</f>
        <v>-</v>
      </c>
      <c r="E73" s="249" t="b">
        <f>IFERROR(__xludf.DUMMYFUNCTION("""COMPUTED_VALUE"""),FALSE)</f>
        <v>0</v>
      </c>
      <c r="F73" s="263" t="str">
        <f>IFERROR(__xludf.DUMMYFUNCTION("""COMPUTED_VALUE"""),"-")</f>
        <v>-</v>
      </c>
      <c r="G73" s="263"/>
      <c r="H73" s="263"/>
      <c r="I73" s="258"/>
      <c r="J73" s="261"/>
      <c r="K73" s="261"/>
      <c r="L73" s="261"/>
      <c r="M73" s="261"/>
      <c r="N73" s="261"/>
      <c r="O73" s="261"/>
      <c r="P73" s="264"/>
      <c r="Q73" s="261"/>
      <c r="R73" s="261"/>
      <c r="S73" s="261"/>
      <c r="T73" s="261"/>
      <c r="U73" s="255"/>
      <c r="V73" s="255"/>
      <c r="W73" s="261"/>
      <c r="X73" s="261"/>
      <c r="Y73" s="262"/>
    </row>
    <row r="74">
      <c r="A74" s="248"/>
      <c r="B74" s="249" t="str">
        <f>IFERROR(__xludf.DUMMYFUNCTION("""COMPUTED_VALUE"""),"")</f>
        <v/>
      </c>
      <c r="C74" s="249" t="str">
        <f>IFERROR(__xludf.DUMMYFUNCTION("""COMPUTED_VALUE"""),"")</f>
        <v/>
      </c>
      <c r="D74" s="249" t="str">
        <f>IFERROR(__xludf.DUMMYFUNCTION("""COMPUTED_VALUE"""),"-")</f>
        <v>-</v>
      </c>
      <c r="E74" s="249" t="b">
        <f>IFERROR(__xludf.DUMMYFUNCTION("""COMPUTED_VALUE"""),FALSE)</f>
        <v>0</v>
      </c>
      <c r="F74" s="263" t="str">
        <f>IFERROR(__xludf.DUMMYFUNCTION("""COMPUTED_VALUE"""),"-")</f>
        <v>-</v>
      </c>
      <c r="G74" s="263"/>
      <c r="H74" s="263"/>
      <c r="I74" s="258"/>
      <c r="J74" s="261"/>
      <c r="K74" s="261"/>
      <c r="L74" s="261"/>
      <c r="M74" s="261"/>
      <c r="N74" s="261"/>
      <c r="O74" s="261"/>
      <c r="P74" s="264"/>
      <c r="Q74" s="261"/>
      <c r="R74" s="261"/>
      <c r="S74" s="261"/>
      <c r="T74" s="261"/>
      <c r="U74" s="255"/>
      <c r="V74" s="255"/>
      <c r="W74" s="261"/>
      <c r="X74" s="261"/>
      <c r="Y74" s="262"/>
    </row>
    <row r="75">
      <c r="A75" s="248"/>
      <c r="B75" s="249" t="str">
        <f>IFERROR(__xludf.DUMMYFUNCTION("""COMPUTED_VALUE"""),"")</f>
        <v/>
      </c>
      <c r="C75" s="249" t="str">
        <f>IFERROR(__xludf.DUMMYFUNCTION("""COMPUTED_VALUE"""),"")</f>
        <v/>
      </c>
      <c r="D75" s="249" t="str">
        <f>IFERROR(__xludf.DUMMYFUNCTION("""COMPUTED_VALUE"""),"-")</f>
        <v>-</v>
      </c>
      <c r="E75" s="249" t="b">
        <f>IFERROR(__xludf.DUMMYFUNCTION("""COMPUTED_VALUE"""),FALSE)</f>
        <v>0</v>
      </c>
      <c r="F75" s="263" t="str">
        <f>IFERROR(__xludf.DUMMYFUNCTION("""COMPUTED_VALUE"""),"-")</f>
        <v>-</v>
      </c>
      <c r="G75" s="263"/>
      <c r="H75" s="263"/>
      <c r="I75" s="258"/>
      <c r="J75" s="261"/>
      <c r="K75" s="261"/>
      <c r="L75" s="261"/>
      <c r="M75" s="261"/>
      <c r="N75" s="261"/>
      <c r="O75" s="261"/>
      <c r="P75" s="261"/>
      <c r="Q75" s="261"/>
      <c r="R75" s="261"/>
      <c r="S75" s="261"/>
      <c r="T75" s="261"/>
      <c r="U75" s="255"/>
      <c r="V75" s="255"/>
      <c r="W75" s="261"/>
      <c r="X75" s="261"/>
      <c r="Y75" s="262"/>
    </row>
    <row r="76">
      <c r="A76" s="248"/>
      <c r="B76" s="249" t="str">
        <f>IFERROR(__xludf.DUMMYFUNCTION("""COMPUTED_VALUE"""),"")</f>
        <v/>
      </c>
      <c r="C76" s="249" t="str">
        <f>IFERROR(__xludf.DUMMYFUNCTION("""COMPUTED_VALUE"""),"")</f>
        <v/>
      </c>
      <c r="D76" s="249" t="str">
        <f>IFERROR(__xludf.DUMMYFUNCTION("""COMPUTED_VALUE"""),"-")</f>
        <v>-</v>
      </c>
      <c r="E76" s="249" t="b">
        <f>IFERROR(__xludf.DUMMYFUNCTION("""COMPUTED_VALUE"""),FALSE)</f>
        <v>0</v>
      </c>
      <c r="F76" s="263" t="str">
        <f>IFERROR(__xludf.DUMMYFUNCTION("""COMPUTED_VALUE"""),"-")</f>
        <v>-</v>
      </c>
      <c r="G76" s="263"/>
      <c r="H76" s="263"/>
      <c r="I76" s="258"/>
      <c r="J76" s="261"/>
      <c r="K76" s="261"/>
      <c r="L76" s="261"/>
      <c r="M76" s="261"/>
      <c r="N76" s="261"/>
      <c r="O76" s="261"/>
      <c r="P76" s="264"/>
      <c r="Q76" s="261"/>
      <c r="R76" s="261"/>
      <c r="S76" s="261"/>
      <c r="T76" s="261"/>
      <c r="U76" s="255"/>
      <c r="V76" s="255"/>
      <c r="W76" s="261"/>
      <c r="X76" s="261"/>
      <c r="Y76" s="262"/>
    </row>
    <row r="77">
      <c r="A77" s="248"/>
      <c r="B77" s="249" t="str">
        <f>IFERROR(__xludf.DUMMYFUNCTION("""COMPUTED_VALUE"""),"")</f>
        <v/>
      </c>
      <c r="C77" s="249" t="str">
        <f>IFERROR(__xludf.DUMMYFUNCTION("""COMPUTED_VALUE"""),"")</f>
        <v/>
      </c>
      <c r="D77" s="249" t="str">
        <f>IFERROR(__xludf.DUMMYFUNCTION("""COMPUTED_VALUE"""),"-")</f>
        <v>-</v>
      </c>
      <c r="E77" s="249" t="b">
        <f>IFERROR(__xludf.DUMMYFUNCTION("""COMPUTED_VALUE"""),FALSE)</f>
        <v>0</v>
      </c>
      <c r="F77" s="263" t="str">
        <f>IFERROR(__xludf.DUMMYFUNCTION("""COMPUTED_VALUE"""),"-")</f>
        <v>-</v>
      </c>
      <c r="G77" s="263"/>
      <c r="H77" s="263"/>
      <c r="I77" s="258"/>
      <c r="J77" s="261"/>
      <c r="K77" s="261"/>
      <c r="L77" s="261"/>
      <c r="M77" s="261"/>
      <c r="N77" s="261"/>
      <c r="O77" s="261"/>
      <c r="P77" s="264"/>
      <c r="Q77" s="261"/>
      <c r="R77" s="261"/>
      <c r="S77" s="261"/>
      <c r="T77" s="261"/>
      <c r="U77" s="255"/>
      <c r="V77" s="255"/>
      <c r="W77" s="261"/>
      <c r="X77" s="261"/>
      <c r="Y77" s="262"/>
    </row>
    <row r="78">
      <c r="A78" s="248"/>
      <c r="B78" s="249" t="str">
        <f>IFERROR(__xludf.DUMMYFUNCTION("""COMPUTED_VALUE"""),"")</f>
        <v/>
      </c>
      <c r="C78" s="249" t="str">
        <f>IFERROR(__xludf.DUMMYFUNCTION("""COMPUTED_VALUE"""),"")</f>
        <v/>
      </c>
      <c r="D78" s="249" t="str">
        <f>IFERROR(__xludf.DUMMYFUNCTION("""COMPUTED_VALUE"""),"-")</f>
        <v>-</v>
      </c>
      <c r="E78" s="249" t="b">
        <f>IFERROR(__xludf.DUMMYFUNCTION("""COMPUTED_VALUE"""),FALSE)</f>
        <v>0</v>
      </c>
      <c r="F78" s="263" t="str">
        <f>IFERROR(__xludf.DUMMYFUNCTION("""COMPUTED_VALUE"""),"-")</f>
        <v>-</v>
      </c>
      <c r="G78" s="263"/>
      <c r="H78" s="263"/>
      <c r="I78" s="258"/>
      <c r="J78" s="261"/>
      <c r="K78" s="261"/>
      <c r="L78" s="261"/>
      <c r="M78" s="261"/>
      <c r="N78" s="261"/>
      <c r="O78" s="261"/>
      <c r="P78" s="264"/>
      <c r="Q78" s="261"/>
      <c r="R78" s="261"/>
      <c r="S78" s="261"/>
      <c r="T78" s="261"/>
      <c r="U78" s="255"/>
      <c r="V78" s="255"/>
      <c r="W78" s="261"/>
      <c r="X78" s="261"/>
      <c r="Y78" s="262"/>
    </row>
    <row r="79">
      <c r="A79" s="248"/>
      <c r="B79" s="249" t="str">
        <f>IFERROR(__xludf.DUMMYFUNCTION("""COMPUTED_VALUE"""),"")</f>
        <v/>
      </c>
      <c r="C79" s="249" t="str">
        <f>IFERROR(__xludf.DUMMYFUNCTION("""COMPUTED_VALUE"""),"")</f>
        <v/>
      </c>
      <c r="D79" s="249" t="str">
        <f>IFERROR(__xludf.DUMMYFUNCTION("""COMPUTED_VALUE"""),"-")</f>
        <v>-</v>
      </c>
      <c r="E79" s="249" t="b">
        <f>IFERROR(__xludf.DUMMYFUNCTION("""COMPUTED_VALUE"""),FALSE)</f>
        <v>0</v>
      </c>
      <c r="F79" s="263" t="str">
        <f>IFERROR(__xludf.DUMMYFUNCTION("""COMPUTED_VALUE"""),"-")</f>
        <v>-</v>
      </c>
      <c r="G79" s="263"/>
      <c r="H79" s="263"/>
      <c r="I79" s="258"/>
      <c r="J79" s="261"/>
      <c r="K79" s="261"/>
      <c r="L79" s="261"/>
      <c r="M79" s="261"/>
      <c r="N79" s="261"/>
      <c r="O79" s="261"/>
      <c r="P79" s="264"/>
      <c r="Q79" s="261"/>
      <c r="R79" s="261"/>
      <c r="S79" s="261"/>
      <c r="T79" s="261"/>
      <c r="U79" s="255"/>
      <c r="V79" s="255"/>
      <c r="W79" s="261"/>
      <c r="X79" s="261"/>
      <c r="Y79" s="262"/>
    </row>
    <row r="80">
      <c r="A80" s="248"/>
      <c r="B80" s="249" t="str">
        <f>IFERROR(__xludf.DUMMYFUNCTION("""COMPUTED_VALUE"""),"")</f>
        <v/>
      </c>
      <c r="C80" s="249" t="str">
        <f>IFERROR(__xludf.DUMMYFUNCTION("""COMPUTED_VALUE"""),"")</f>
        <v/>
      </c>
      <c r="D80" s="249" t="str">
        <f>IFERROR(__xludf.DUMMYFUNCTION("""COMPUTED_VALUE"""),"-")</f>
        <v>-</v>
      </c>
      <c r="E80" s="249" t="b">
        <f>IFERROR(__xludf.DUMMYFUNCTION("""COMPUTED_VALUE"""),FALSE)</f>
        <v>0</v>
      </c>
      <c r="F80" s="263" t="str">
        <f>IFERROR(__xludf.DUMMYFUNCTION("""COMPUTED_VALUE"""),"-")</f>
        <v>-</v>
      </c>
      <c r="G80" s="263"/>
      <c r="H80" s="263"/>
      <c r="I80" s="258"/>
      <c r="J80" s="261"/>
      <c r="K80" s="261"/>
      <c r="L80" s="261"/>
      <c r="M80" s="261"/>
      <c r="N80" s="261"/>
      <c r="O80" s="261"/>
      <c r="P80" s="261"/>
      <c r="Q80" s="261"/>
      <c r="R80" s="261"/>
      <c r="S80" s="261"/>
      <c r="T80" s="261"/>
      <c r="U80" s="255"/>
      <c r="V80" s="255"/>
      <c r="W80" s="261"/>
      <c r="X80" s="261"/>
      <c r="Y80" s="262"/>
    </row>
    <row r="81">
      <c r="A81" s="248"/>
      <c r="B81" s="249" t="str">
        <f>IFERROR(__xludf.DUMMYFUNCTION("""COMPUTED_VALUE"""),"")</f>
        <v/>
      </c>
      <c r="C81" s="249" t="str">
        <f>IFERROR(__xludf.DUMMYFUNCTION("""COMPUTED_VALUE"""),"")</f>
        <v/>
      </c>
      <c r="D81" s="249" t="str">
        <f>IFERROR(__xludf.DUMMYFUNCTION("""COMPUTED_VALUE"""),"-")</f>
        <v>-</v>
      </c>
      <c r="E81" s="249" t="b">
        <f>IFERROR(__xludf.DUMMYFUNCTION("""COMPUTED_VALUE"""),FALSE)</f>
        <v>0</v>
      </c>
      <c r="F81" s="263" t="str">
        <f>IFERROR(__xludf.DUMMYFUNCTION("""COMPUTED_VALUE"""),"-")</f>
        <v>-</v>
      </c>
      <c r="G81" s="263"/>
      <c r="H81" s="263"/>
      <c r="I81" s="258"/>
      <c r="J81" s="261"/>
      <c r="K81" s="261"/>
      <c r="L81" s="261"/>
      <c r="M81" s="261"/>
      <c r="N81" s="261"/>
      <c r="O81" s="261"/>
      <c r="P81" s="261"/>
      <c r="Q81" s="261"/>
      <c r="R81" s="261"/>
      <c r="S81" s="261"/>
      <c r="T81" s="261"/>
      <c r="U81" s="255"/>
      <c r="V81" s="255"/>
      <c r="W81" s="261"/>
      <c r="X81" s="261"/>
      <c r="Y81" s="262"/>
    </row>
    <row r="82">
      <c r="A82" s="248"/>
      <c r="B82" s="249" t="str">
        <f>IFERROR(__xludf.DUMMYFUNCTION("""COMPUTED_VALUE"""),"")</f>
        <v/>
      </c>
      <c r="C82" s="249" t="str">
        <f>IFERROR(__xludf.DUMMYFUNCTION("""COMPUTED_VALUE"""),"")</f>
        <v/>
      </c>
      <c r="D82" s="249" t="str">
        <f>IFERROR(__xludf.DUMMYFUNCTION("""COMPUTED_VALUE"""),"-")</f>
        <v>-</v>
      </c>
      <c r="E82" s="249" t="b">
        <f>IFERROR(__xludf.DUMMYFUNCTION("""COMPUTED_VALUE"""),FALSE)</f>
        <v>0</v>
      </c>
      <c r="F82" s="263" t="str">
        <f>IFERROR(__xludf.DUMMYFUNCTION("""COMPUTED_VALUE"""),"-")</f>
        <v>-</v>
      </c>
      <c r="G82" s="263"/>
      <c r="H82" s="263"/>
      <c r="I82" s="258"/>
      <c r="J82" s="261"/>
      <c r="K82" s="261"/>
      <c r="L82" s="261"/>
      <c r="M82" s="261"/>
      <c r="N82" s="261"/>
      <c r="O82" s="261"/>
      <c r="P82" s="261"/>
      <c r="Q82" s="261"/>
      <c r="R82" s="261"/>
      <c r="S82" s="261"/>
      <c r="T82" s="261"/>
      <c r="U82" s="255"/>
      <c r="V82" s="255"/>
      <c r="W82" s="261"/>
      <c r="X82" s="261"/>
      <c r="Y82" s="262"/>
    </row>
    <row r="83">
      <c r="A83" s="248"/>
      <c r="B83" s="249" t="str">
        <f>IFERROR(__xludf.DUMMYFUNCTION("""COMPUTED_VALUE"""),"")</f>
        <v/>
      </c>
      <c r="C83" s="249" t="str">
        <f>IFERROR(__xludf.DUMMYFUNCTION("""COMPUTED_VALUE"""),"")</f>
        <v/>
      </c>
      <c r="D83" s="249" t="str">
        <f>IFERROR(__xludf.DUMMYFUNCTION("""COMPUTED_VALUE"""),"-")</f>
        <v>-</v>
      </c>
      <c r="E83" s="249" t="b">
        <f>IFERROR(__xludf.DUMMYFUNCTION("""COMPUTED_VALUE"""),FALSE)</f>
        <v>0</v>
      </c>
      <c r="F83" s="263" t="str">
        <f>IFERROR(__xludf.DUMMYFUNCTION("""COMPUTED_VALUE"""),"-")</f>
        <v>-</v>
      </c>
      <c r="G83" s="263"/>
      <c r="H83" s="263"/>
      <c r="I83" s="258"/>
      <c r="J83" s="261"/>
      <c r="K83" s="261"/>
      <c r="L83" s="261"/>
      <c r="M83" s="261"/>
      <c r="N83" s="261"/>
      <c r="O83" s="261"/>
      <c r="P83" s="264"/>
      <c r="Q83" s="261"/>
      <c r="R83" s="261"/>
      <c r="S83" s="261"/>
      <c r="T83" s="261"/>
      <c r="U83" s="255"/>
      <c r="V83" s="255"/>
      <c r="W83" s="261"/>
      <c r="X83" s="261"/>
      <c r="Y83" s="262"/>
    </row>
    <row r="84">
      <c r="A84" s="248"/>
      <c r="B84" s="249" t="str">
        <f>IFERROR(__xludf.DUMMYFUNCTION("""COMPUTED_VALUE"""),"")</f>
        <v/>
      </c>
      <c r="C84" s="249" t="str">
        <f>IFERROR(__xludf.DUMMYFUNCTION("""COMPUTED_VALUE"""),"")</f>
        <v/>
      </c>
      <c r="D84" s="249" t="str">
        <f>IFERROR(__xludf.DUMMYFUNCTION("""COMPUTED_VALUE"""),"-")</f>
        <v>-</v>
      </c>
      <c r="E84" s="249" t="b">
        <f>IFERROR(__xludf.DUMMYFUNCTION("""COMPUTED_VALUE"""),FALSE)</f>
        <v>0</v>
      </c>
      <c r="F84" s="263" t="str">
        <f>IFERROR(__xludf.DUMMYFUNCTION("""COMPUTED_VALUE"""),"-")</f>
        <v>-</v>
      </c>
      <c r="G84" s="263"/>
      <c r="H84" s="263"/>
      <c r="I84" s="258"/>
      <c r="J84" s="261"/>
      <c r="K84" s="261"/>
      <c r="L84" s="261"/>
      <c r="M84" s="261"/>
      <c r="N84" s="261"/>
      <c r="O84" s="261"/>
      <c r="P84" s="261"/>
      <c r="Q84" s="261"/>
      <c r="R84" s="261"/>
      <c r="S84" s="261"/>
      <c r="T84" s="261"/>
      <c r="U84" s="255"/>
      <c r="V84" s="255"/>
      <c r="W84" s="261"/>
      <c r="X84" s="261"/>
      <c r="Y84" s="262"/>
    </row>
    <row r="85">
      <c r="A85" s="248"/>
      <c r="B85" s="249" t="str">
        <f>IFERROR(__xludf.DUMMYFUNCTION("""COMPUTED_VALUE"""),"")</f>
        <v/>
      </c>
      <c r="C85" s="249" t="str">
        <f>IFERROR(__xludf.DUMMYFUNCTION("""COMPUTED_VALUE"""),"")</f>
        <v/>
      </c>
      <c r="D85" s="249" t="str">
        <f>IFERROR(__xludf.DUMMYFUNCTION("""COMPUTED_VALUE"""),"-")</f>
        <v>-</v>
      </c>
      <c r="E85" s="249" t="b">
        <f>IFERROR(__xludf.DUMMYFUNCTION("""COMPUTED_VALUE"""),FALSE)</f>
        <v>0</v>
      </c>
      <c r="F85" s="263" t="str">
        <f>IFERROR(__xludf.DUMMYFUNCTION("""COMPUTED_VALUE"""),"-")</f>
        <v>-</v>
      </c>
      <c r="G85" s="263"/>
      <c r="H85" s="263"/>
      <c r="I85" s="258"/>
      <c r="J85" s="261"/>
      <c r="K85" s="261"/>
      <c r="L85" s="261"/>
      <c r="M85" s="261"/>
      <c r="N85" s="261"/>
      <c r="O85" s="261"/>
      <c r="P85" s="264"/>
      <c r="Q85" s="261"/>
      <c r="R85" s="261"/>
      <c r="S85" s="261"/>
      <c r="T85" s="261"/>
      <c r="U85" s="255"/>
      <c r="V85" s="255"/>
      <c r="W85" s="261"/>
      <c r="X85" s="261"/>
      <c r="Y85" s="262"/>
    </row>
    <row r="86">
      <c r="A86" s="248"/>
      <c r="B86" s="249" t="str">
        <f>IFERROR(__xludf.DUMMYFUNCTION("""COMPUTED_VALUE"""),"")</f>
        <v/>
      </c>
      <c r="C86" s="249" t="str">
        <f>IFERROR(__xludf.DUMMYFUNCTION("""COMPUTED_VALUE"""),"")</f>
        <v/>
      </c>
      <c r="D86" s="249" t="str">
        <f>IFERROR(__xludf.DUMMYFUNCTION("""COMPUTED_VALUE"""),"-")</f>
        <v>-</v>
      </c>
      <c r="E86" s="249" t="b">
        <f>IFERROR(__xludf.DUMMYFUNCTION("""COMPUTED_VALUE"""),FALSE)</f>
        <v>0</v>
      </c>
      <c r="F86" s="263" t="str">
        <f>IFERROR(__xludf.DUMMYFUNCTION("""COMPUTED_VALUE"""),"-")</f>
        <v>-</v>
      </c>
      <c r="G86" s="263"/>
      <c r="H86" s="263"/>
      <c r="I86" s="258"/>
      <c r="J86" s="261"/>
      <c r="K86" s="261"/>
      <c r="L86" s="261"/>
      <c r="M86" s="261"/>
      <c r="N86" s="261"/>
      <c r="O86" s="261"/>
      <c r="P86" s="264"/>
      <c r="Q86" s="261"/>
      <c r="R86" s="261"/>
      <c r="S86" s="261"/>
      <c r="T86" s="261"/>
      <c r="U86" s="255"/>
      <c r="V86" s="255"/>
      <c r="W86" s="261"/>
      <c r="X86" s="261"/>
      <c r="Y86" s="262"/>
    </row>
    <row r="87">
      <c r="A87" s="248"/>
      <c r="B87" s="249" t="str">
        <f>IFERROR(__xludf.DUMMYFUNCTION("""COMPUTED_VALUE"""),"")</f>
        <v/>
      </c>
      <c r="C87" s="249" t="str">
        <f>IFERROR(__xludf.DUMMYFUNCTION("""COMPUTED_VALUE"""),"")</f>
        <v/>
      </c>
      <c r="D87" s="249" t="str">
        <f>IFERROR(__xludf.DUMMYFUNCTION("""COMPUTED_VALUE"""),"-")</f>
        <v>-</v>
      </c>
      <c r="E87" s="249" t="b">
        <f>IFERROR(__xludf.DUMMYFUNCTION("""COMPUTED_VALUE"""),FALSE)</f>
        <v>0</v>
      </c>
      <c r="F87" s="263" t="str">
        <f>IFERROR(__xludf.DUMMYFUNCTION("""COMPUTED_VALUE"""),"-")</f>
        <v>-</v>
      </c>
      <c r="G87" s="263"/>
      <c r="H87" s="263"/>
      <c r="I87" s="258"/>
      <c r="J87" s="261"/>
      <c r="K87" s="261"/>
      <c r="L87" s="261"/>
      <c r="M87" s="261"/>
      <c r="N87" s="261"/>
      <c r="O87" s="261"/>
      <c r="P87" s="264"/>
      <c r="Q87" s="261"/>
      <c r="R87" s="261"/>
      <c r="S87" s="261"/>
      <c r="T87" s="261"/>
      <c r="U87" s="255"/>
      <c r="V87" s="255"/>
      <c r="W87" s="261"/>
      <c r="X87" s="261"/>
      <c r="Y87" s="262"/>
    </row>
    <row r="88">
      <c r="A88" s="248"/>
      <c r="B88" s="249" t="str">
        <f>IFERROR(__xludf.DUMMYFUNCTION("""COMPUTED_VALUE"""),"")</f>
        <v/>
      </c>
      <c r="C88" s="249" t="str">
        <f>IFERROR(__xludf.DUMMYFUNCTION("""COMPUTED_VALUE"""),"")</f>
        <v/>
      </c>
      <c r="D88" s="249" t="str">
        <f>IFERROR(__xludf.DUMMYFUNCTION("""COMPUTED_VALUE"""),"-")</f>
        <v>-</v>
      </c>
      <c r="E88" s="249" t="b">
        <f>IFERROR(__xludf.DUMMYFUNCTION("""COMPUTED_VALUE"""),FALSE)</f>
        <v>0</v>
      </c>
      <c r="F88" s="263" t="str">
        <f>IFERROR(__xludf.DUMMYFUNCTION("""COMPUTED_VALUE"""),"-")</f>
        <v>-</v>
      </c>
      <c r="G88" s="263"/>
      <c r="H88" s="263"/>
      <c r="I88" s="258"/>
      <c r="J88" s="261"/>
      <c r="K88" s="261"/>
      <c r="L88" s="261"/>
      <c r="M88" s="261"/>
      <c r="N88" s="261"/>
      <c r="O88" s="261"/>
      <c r="P88" s="261"/>
      <c r="Q88" s="261"/>
      <c r="R88" s="261"/>
      <c r="S88" s="261"/>
      <c r="T88" s="261"/>
      <c r="U88" s="255"/>
      <c r="V88" s="255"/>
      <c r="W88" s="261"/>
      <c r="X88" s="261"/>
      <c r="Y88" s="262"/>
    </row>
    <row r="89">
      <c r="A89" s="248"/>
      <c r="B89" s="249" t="str">
        <f>IFERROR(__xludf.DUMMYFUNCTION("""COMPUTED_VALUE"""),"")</f>
        <v/>
      </c>
      <c r="C89" s="249" t="str">
        <f>IFERROR(__xludf.DUMMYFUNCTION("""COMPUTED_VALUE"""),"")</f>
        <v/>
      </c>
      <c r="D89" s="249" t="str">
        <f>IFERROR(__xludf.DUMMYFUNCTION("""COMPUTED_VALUE"""),"-")</f>
        <v>-</v>
      </c>
      <c r="E89" s="249" t="b">
        <f>IFERROR(__xludf.DUMMYFUNCTION("""COMPUTED_VALUE"""),FALSE)</f>
        <v>0</v>
      </c>
      <c r="F89" s="263" t="str">
        <f>IFERROR(__xludf.DUMMYFUNCTION("""COMPUTED_VALUE"""),"-")</f>
        <v>-</v>
      </c>
      <c r="G89" s="263"/>
      <c r="H89" s="263"/>
      <c r="I89" s="258"/>
      <c r="J89" s="261"/>
      <c r="K89" s="261"/>
      <c r="L89" s="261"/>
      <c r="M89" s="261"/>
      <c r="N89" s="261"/>
      <c r="O89" s="261"/>
      <c r="P89" s="264"/>
      <c r="Q89" s="261"/>
      <c r="R89" s="261"/>
      <c r="S89" s="261"/>
      <c r="T89" s="261"/>
      <c r="U89" s="255"/>
      <c r="V89" s="255"/>
      <c r="W89" s="261"/>
      <c r="X89" s="261"/>
      <c r="Y89" s="262"/>
    </row>
    <row r="90">
      <c r="A90" s="248"/>
      <c r="B90" s="249" t="str">
        <f>IFERROR(__xludf.DUMMYFUNCTION("""COMPUTED_VALUE"""),"")</f>
        <v/>
      </c>
      <c r="C90" s="249" t="str">
        <f>IFERROR(__xludf.DUMMYFUNCTION("""COMPUTED_VALUE"""),"")</f>
        <v/>
      </c>
      <c r="D90" s="249" t="str">
        <f>IFERROR(__xludf.DUMMYFUNCTION("""COMPUTED_VALUE"""),"-")</f>
        <v>-</v>
      </c>
      <c r="E90" s="249" t="b">
        <f>IFERROR(__xludf.DUMMYFUNCTION("""COMPUTED_VALUE"""),FALSE)</f>
        <v>0</v>
      </c>
      <c r="F90" s="263" t="str">
        <f>IFERROR(__xludf.DUMMYFUNCTION("""COMPUTED_VALUE"""),"-")</f>
        <v>-</v>
      </c>
      <c r="G90" s="263"/>
      <c r="H90" s="263"/>
      <c r="I90" s="258"/>
      <c r="J90" s="261"/>
      <c r="K90" s="261"/>
      <c r="L90" s="261"/>
      <c r="M90" s="261"/>
      <c r="N90" s="261"/>
      <c r="O90" s="261"/>
      <c r="P90" s="261"/>
      <c r="Q90" s="261"/>
      <c r="R90" s="261"/>
      <c r="S90" s="261"/>
      <c r="T90" s="261"/>
      <c r="U90" s="255"/>
      <c r="V90" s="255"/>
      <c r="W90" s="261"/>
      <c r="X90" s="261"/>
      <c r="Y90" s="262"/>
    </row>
    <row r="91">
      <c r="A91" s="248"/>
      <c r="B91" s="249" t="str">
        <f>IFERROR(__xludf.DUMMYFUNCTION("""COMPUTED_VALUE"""),"")</f>
        <v/>
      </c>
      <c r="C91" s="249" t="str">
        <f>IFERROR(__xludf.DUMMYFUNCTION("""COMPUTED_VALUE"""),"")</f>
        <v/>
      </c>
      <c r="D91" s="249" t="str">
        <f>IFERROR(__xludf.DUMMYFUNCTION("""COMPUTED_VALUE"""),"-")</f>
        <v>-</v>
      </c>
      <c r="E91" s="249" t="b">
        <f>IFERROR(__xludf.DUMMYFUNCTION("""COMPUTED_VALUE"""),FALSE)</f>
        <v>0</v>
      </c>
      <c r="F91" s="263" t="str">
        <f>IFERROR(__xludf.DUMMYFUNCTION("""COMPUTED_VALUE"""),"-")</f>
        <v>-</v>
      </c>
      <c r="G91" s="263"/>
      <c r="H91" s="263"/>
      <c r="I91" s="258"/>
      <c r="J91" s="261"/>
      <c r="K91" s="261"/>
      <c r="L91" s="261"/>
      <c r="M91" s="261"/>
      <c r="N91" s="261"/>
      <c r="O91" s="261"/>
      <c r="P91" s="261"/>
      <c r="Q91" s="261"/>
      <c r="R91" s="261"/>
      <c r="S91" s="261"/>
      <c r="T91" s="261"/>
      <c r="U91" s="255"/>
      <c r="V91" s="255"/>
      <c r="W91" s="261"/>
      <c r="X91" s="261"/>
      <c r="Y91" s="262"/>
    </row>
    <row r="92">
      <c r="A92" s="248"/>
      <c r="B92" s="249" t="str">
        <f>IFERROR(__xludf.DUMMYFUNCTION("""COMPUTED_VALUE"""),"")</f>
        <v/>
      </c>
      <c r="C92" s="249" t="str">
        <f>IFERROR(__xludf.DUMMYFUNCTION("""COMPUTED_VALUE"""),"")</f>
        <v/>
      </c>
      <c r="D92" s="249" t="str">
        <f>IFERROR(__xludf.DUMMYFUNCTION("""COMPUTED_VALUE"""),"-")</f>
        <v>-</v>
      </c>
      <c r="E92" s="249" t="b">
        <f>IFERROR(__xludf.DUMMYFUNCTION("""COMPUTED_VALUE"""),FALSE)</f>
        <v>0</v>
      </c>
      <c r="F92" s="263" t="str">
        <f>IFERROR(__xludf.DUMMYFUNCTION("""COMPUTED_VALUE"""),"-")</f>
        <v>-</v>
      </c>
      <c r="G92" s="263"/>
      <c r="H92" s="263"/>
      <c r="I92" s="258"/>
      <c r="J92" s="261"/>
      <c r="K92" s="261"/>
      <c r="L92" s="261"/>
      <c r="M92" s="261"/>
      <c r="N92" s="261"/>
      <c r="O92" s="261"/>
      <c r="P92" s="261"/>
      <c r="Q92" s="261"/>
      <c r="R92" s="261"/>
      <c r="S92" s="261"/>
      <c r="T92" s="261"/>
      <c r="U92" s="255"/>
      <c r="V92" s="255"/>
      <c r="W92" s="261"/>
      <c r="X92" s="261"/>
      <c r="Y92" s="262"/>
    </row>
    <row r="93">
      <c r="A93" s="248"/>
      <c r="B93" s="249" t="str">
        <f>IFERROR(__xludf.DUMMYFUNCTION("""COMPUTED_VALUE"""),"")</f>
        <v/>
      </c>
      <c r="C93" s="249" t="str">
        <f>IFERROR(__xludf.DUMMYFUNCTION("""COMPUTED_VALUE"""),"")</f>
        <v/>
      </c>
      <c r="D93" s="249" t="str">
        <f>IFERROR(__xludf.DUMMYFUNCTION("""COMPUTED_VALUE"""),"-")</f>
        <v>-</v>
      </c>
      <c r="E93" s="249" t="b">
        <f>IFERROR(__xludf.DUMMYFUNCTION("""COMPUTED_VALUE"""),FALSE)</f>
        <v>0</v>
      </c>
      <c r="F93" s="263" t="str">
        <f>IFERROR(__xludf.DUMMYFUNCTION("""COMPUTED_VALUE"""),"-")</f>
        <v>-</v>
      </c>
      <c r="G93" s="263"/>
      <c r="H93" s="263"/>
      <c r="I93" s="258"/>
      <c r="J93" s="261"/>
      <c r="K93" s="261"/>
      <c r="L93" s="261"/>
      <c r="M93" s="261"/>
      <c r="N93" s="261"/>
      <c r="O93" s="261"/>
      <c r="P93" s="264"/>
      <c r="Q93" s="261"/>
      <c r="R93" s="261"/>
      <c r="S93" s="261"/>
      <c r="T93" s="261"/>
      <c r="U93" s="255"/>
      <c r="V93" s="255"/>
      <c r="W93" s="261"/>
      <c r="X93" s="261"/>
      <c r="Y93" s="262"/>
    </row>
    <row r="94">
      <c r="A94" s="248"/>
      <c r="B94" s="249" t="str">
        <f>IFERROR(__xludf.DUMMYFUNCTION("""COMPUTED_VALUE"""),"")</f>
        <v/>
      </c>
      <c r="C94" s="249" t="str">
        <f>IFERROR(__xludf.DUMMYFUNCTION("""COMPUTED_VALUE"""),"")</f>
        <v/>
      </c>
      <c r="D94" s="249" t="str">
        <f>IFERROR(__xludf.DUMMYFUNCTION("""COMPUTED_VALUE"""),"-")</f>
        <v>-</v>
      </c>
      <c r="E94" s="249" t="b">
        <f>IFERROR(__xludf.DUMMYFUNCTION("""COMPUTED_VALUE"""),FALSE)</f>
        <v>0</v>
      </c>
      <c r="F94" s="263" t="str">
        <f>IFERROR(__xludf.DUMMYFUNCTION("""COMPUTED_VALUE"""),"-")</f>
        <v>-</v>
      </c>
      <c r="G94" s="263"/>
      <c r="H94" s="263"/>
      <c r="I94" s="258"/>
      <c r="J94" s="261"/>
      <c r="K94" s="261"/>
      <c r="L94" s="261"/>
      <c r="M94" s="261"/>
      <c r="N94" s="261"/>
      <c r="O94" s="261"/>
      <c r="P94" s="261"/>
      <c r="Q94" s="261"/>
      <c r="R94" s="261"/>
      <c r="S94" s="261"/>
      <c r="T94" s="261"/>
      <c r="U94" s="255"/>
      <c r="V94" s="255"/>
      <c r="W94" s="261"/>
      <c r="X94" s="261"/>
      <c r="Y94" s="262"/>
    </row>
    <row r="95">
      <c r="A95" s="248"/>
      <c r="B95" s="249" t="str">
        <f>IFERROR(__xludf.DUMMYFUNCTION("""COMPUTED_VALUE"""),"")</f>
        <v/>
      </c>
      <c r="C95" s="249" t="str">
        <f>IFERROR(__xludf.DUMMYFUNCTION("""COMPUTED_VALUE"""),"")</f>
        <v/>
      </c>
      <c r="D95" s="249" t="str">
        <f>IFERROR(__xludf.DUMMYFUNCTION("""COMPUTED_VALUE"""),"-")</f>
        <v>-</v>
      </c>
      <c r="E95" s="249" t="b">
        <f>IFERROR(__xludf.DUMMYFUNCTION("""COMPUTED_VALUE"""),FALSE)</f>
        <v>0</v>
      </c>
      <c r="F95" s="263" t="str">
        <f>IFERROR(__xludf.DUMMYFUNCTION("""COMPUTED_VALUE"""),"-")</f>
        <v>-</v>
      </c>
      <c r="G95" s="263"/>
      <c r="H95" s="263"/>
      <c r="I95" s="258"/>
      <c r="J95" s="261"/>
      <c r="K95" s="261"/>
      <c r="L95" s="261"/>
      <c r="M95" s="261"/>
      <c r="N95" s="261"/>
      <c r="O95" s="261"/>
      <c r="P95" s="261"/>
      <c r="Q95" s="261"/>
      <c r="R95" s="261"/>
      <c r="S95" s="261"/>
      <c r="T95" s="261"/>
      <c r="U95" s="255"/>
      <c r="V95" s="255"/>
      <c r="W95" s="261"/>
      <c r="X95" s="261"/>
      <c r="Y95" s="262"/>
    </row>
    <row r="96">
      <c r="A96" s="248"/>
      <c r="B96" s="249" t="str">
        <f>IFERROR(__xludf.DUMMYFUNCTION("""COMPUTED_VALUE"""),"")</f>
        <v/>
      </c>
      <c r="C96" s="249" t="str">
        <f>IFERROR(__xludf.DUMMYFUNCTION("""COMPUTED_VALUE"""),"")</f>
        <v/>
      </c>
      <c r="D96" s="249" t="str">
        <f>IFERROR(__xludf.DUMMYFUNCTION("""COMPUTED_VALUE"""),"-")</f>
        <v>-</v>
      </c>
      <c r="E96" s="249" t="b">
        <f>IFERROR(__xludf.DUMMYFUNCTION("""COMPUTED_VALUE"""),FALSE)</f>
        <v>0</v>
      </c>
      <c r="F96" s="263" t="str">
        <f>IFERROR(__xludf.DUMMYFUNCTION("""COMPUTED_VALUE"""),"-")</f>
        <v>-</v>
      </c>
      <c r="G96" s="263"/>
      <c r="H96" s="263"/>
      <c r="I96" s="258"/>
      <c r="J96" s="261"/>
      <c r="K96" s="261"/>
      <c r="L96" s="261"/>
      <c r="M96" s="261"/>
      <c r="N96" s="261"/>
      <c r="O96" s="261"/>
      <c r="P96" s="261"/>
      <c r="Q96" s="261"/>
      <c r="R96" s="261"/>
      <c r="S96" s="261"/>
      <c r="T96" s="261"/>
      <c r="U96" s="255"/>
      <c r="V96" s="255"/>
      <c r="W96" s="261"/>
      <c r="X96" s="261"/>
      <c r="Y96" s="262"/>
    </row>
    <row r="97">
      <c r="A97" s="248"/>
      <c r="B97" s="249" t="str">
        <f>IFERROR(__xludf.DUMMYFUNCTION("""COMPUTED_VALUE"""),"")</f>
        <v/>
      </c>
      <c r="C97" s="249" t="str">
        <f>IFERROR(__xludf.DUMMYFUNCTION("""COMPUTED_VALUE"""),"")</f>
        <v/>
      </c>
      <c r="D97" s="249" t="str">
        <f>IFERROR(__xludf.DUMMYFUNCTION("""COMPUTED_VALUE"""),"-")</f>
        <v>-</v>
      </c>
      <c r="E97" s="249" t="b">
        <f>IFERROR(__xludf.DUMMYFUNCTION("""COMPUTED_VALUE"""),FALSE)</f>
        <v>0</v>
      </c>
      <c r="F97" s="263" t="str">
        <f>IFERROR(__xludf.DUMMYFUNCTION("""COMPUTED_VALUE"""),"-")</f>
        <v>-</v>
      </c>
      <c r="G97" s="263"/>
      <c r="H97" s="263"/>
      <c r="I97" s="258"/>
      <c r="J97" s="261"/>
      <c r="K97" s="261"/>
      <c r="L97" s="261"/>
      <c r="M97" s="261"/>
      <c r="N97" s="261"/>
      <c r="O97" s="261"/>
      <c r="P97" s="264"/>
      <c r="Q97" s="261"/>
      <c r="R97" s="261"/>
      <c r="S97" s="261"/>
      <c r="T97" s="261"/>
      <c r="U97" s="255"/>
      <c r="V97" s="255"/>
      <c r="W97" s="261"/>
      <c r="X97" s="261"/>
      <c r="Y97" s="262"/>
    </row>
    <row r="98">
      <c r="A98" s="248"/>
      <c r="B98" s="249" t="str">
        <f>IFERROR(__xludf.DUMMYFUNCTION("""COMPUTED_VALUE"""),"")</f>
        <v/>
      </c>
      <c r="C98" s="249" t="str">
        <f>IFERROR(__xludf.DUMMYFUNCTION("""COMPUTED_VALUE"""),"")</f>
        <v/>
      </c>
      <c r="D98" s="249" t="str">
        <f>IFERROR(__xludf.DUMMYFUNCTION("""COMPUTED_VALUE"""),"-")</f>
        <v>-</v>
      </c>
      <c r="E98" s="249" t="b">
        <f>IFERROR(__xludf.DUMMYFUNCTION("""COMPUTED_VALUE"""),FALSE)</f>
        <v>0</v>
      </c>
      <c r="F98" s="263" t="str">
        <f>IFERROR(__xludf.DUMMYFUNCTION("""COMPUTED_VALUE"""),"-")</f>
        <v>-</v>
      </c>
      <c r="G98" s="263"/>
      <c r="H98" s="263"/>
      <c r="I98" s="258"/>
      <c r="J98" s="261"/>
      <c r="K98" s="261"/>
      <c r="L98" s="261"/>
      <c r="M98" s="261"/>
      <c r="N98" s="261"/>
      <c r="O98" s="261"/>
      <c r="P98" s="261"/>
      <c r="Q98" s="261"/>
      <c r="R98" s="261"/>
      <c r="S98" s="261"/>
      <c r="T98" s="261"/>
      <c r="U98" s="255"/>
      <c r="V98" s="255"/>
      <c r="W98" s="261"/>
      <c r="X98" s="261"/>
      <c r="Y98" s="262"/>
    </row>
    <row r="99">
      <c r="A99" s="248"/>
      <c r="B99" s="249" t="str">
        <f>IFERROR(__xludf.DUMMYFUNCTION("""COMPUTED_VALUE"""),"")</f>
        <v/>
      </c>
      <c r="C99" s="249" t="str">
        <f>IFERROR(__xludf.DUMMYFUNCTION("""COMPUTED_VALUE"""),"")</f>
        <v/>
      </c>
      <c r="D99" s="249" t="str">
        <f>IFERROR(__xludf.DUMMYFUNCTION("""COMPUTED_VALUE"""),"-")</f>
        <v>-</v>
      </c>
      <c r="E99" s="249" t="b">
        <f>IFERROR(__xludf.DUMMYFUNCTION("""COMPUTED_VALUE"""),FALSE)</f>
        <v>0</v>
      </c>
      <c r="F99" s="263" t="str">
        <f>IFERROR(__xludf.DUMMYFUNCTION("""COMPUTED_VALUE"""),"-")</f>
        <v>-</v>
      </c>
      <c r="G99" s="263"/>
      <c r="H99" s="263"/>
      <c r="I99" s="258"/>
      <c r="J99" s="261"/>
      <c r="K99" s="261"/>
      <c r="L99" s="261"/>
      <c r="M99" s="261"/>
      <c r="N99" s="261"/>
      <c r="O99" s="261"/>
      <c r="P99" s="264"/>
      <c r="Q99" s="261"/>
      <c r="R99" s="261"/>
      <c r="S99" s="261"/>
      <c r="T99" s="261"/>
      <c r="U99" s="255"/>
      <c r="V99" s="255"/>
      <c r="W99" s="261"/>
      <c r="X99" s="261"/>
      <c r="Y99" s="262"/>
    </row>
    <row r="100">
      <c r="A100" s="248"/>
      <c r="B100" s="249" t="str">
        <f>IFERROR(__xludf.DUMMYFUNCTION("""COMPUTED_VALUE"""),"")</f>
        <v/>
      </c>
      <c r="C100" s="249" t="str">
        <f>IFERROR(__xludf.DUMMYFUNCTION("""COMPUTED_VALUE"""),"")</f>
        <v/>
      </c>
      <c r="D100" s="249" t="str">
        <f>IFERROR(__xludf.DUMMYFUNCTION("""COMPUTED_VALUE"""),"-")</f>
        <v>-</v>
      </c>
      <c r="E100" s="249" t="b">
        <f>IFERROR(__xludf.DUMMYFUNCTION("""COMPUTED_VALUE"""),FALSE)</f>
        <v>0</v>
      </c>
      <c r="F100" s="263" t="str">
        <f>IFERROR(__xludf.DUMMYFUNCTION("""COMPUTED_VALUE"""),"-")</f>
        <v>-</v>
      </c>
      <c r="G100" s="263"/>
      <c r="H100" s="263"/>
      <c r="I100" s="258"/>
      <c r="J100" s="261"/>
      <c r="K100" s="261"/>
      <c r="L100" s="261"/>
      <c r="M100" s="261"/>
      <c r="N100" s="261"/>
      <c r="O100" s="261"/>
      <c r="P100" s="261"/>
      <c r="Q100" s="261"/>
      <c r="R100" s="261"/>
      <c r="S100" s="261"/>
      <c r="T100" s="261"/>
      <c r="U100" s="255"/>
      <c r="V100" s="255"/>
      <c r="W100" s="261"/>
      <c r="X100" s="261"/>
      <c r="Y100" s="262"/>
    </row>
    <row r="101">
      <c r="A101" s="248"/>
      <c r="B101" s="249" t="str">
        <f>IFERROR(__xludf.DUMMYFUNCTION("""COMPUTED_VALUE"""),"")</f>
        <v/>
      </c>
      <c r="C101" s="249" t="str">
        <f>IFERROR(__xludf.DUMMYFUNCTION("""COMPUTED_VALUE"""),"")</f>
        <v/>
      </c>
      <c r="D101" s="249" t="str">
        <f>IFERROR(__xludf.DUMMYFUNCTION("""COMPUTED_VALUE"""),"-")</f>
        <v>-</v>
      </c>
      <c r="E101" s="249" t="b">
        <f>IFERROR(__xludf.DUMMYFUNCTION("""COMPUTED_VALUE"""),FALSE)</f>
        <v>0</v>
      </c>
      <c r="F101" s="263" t="str">
        <f>IFERROR(__xludf.DUMMYFUNCTION("""COMPUTED_VALUE"""),"-")</f>
        <v>-</v>
      </c>
      <c r="G101" s="263"/>
      <c r="H101" s="263"/>
      <c r="I101" s="258"/>
      <c r="J101" s="261"/>
      <c r="K101" s="261"/>
      <c r="L101" s="261"/>
      <c r="M101" s="261"/>
      <c r="N101" s="261"/>
      <c r="O101" s="261"/>
      <c r="P101" s="264"/>
      <c r="Q101" s="261"/>
      <c r="R101" s="261"/>
      <c r="S101" s="261"/>
      <c r="T101" s="261"/>
      <c r="U101" s="255"/>
      <c r="V101" s="255"/>
      <c r="W101" s="261"/>
      <c r="X101" s="261"/>
      <c r="Y101" s="262"/>
    </row>
    <row r="102">
      <c r="A102" s="248"/>
      <c r="B102" s="249" t="str">
        <f>IFERROR(__xludf.DUMMYFUNCTION("""COMPUTED_VALUE"""),"")</f>
        <v/>
      </c>
      <c r="C102" s="249" t="str">
        <f>IFERROR(__xludf.DUMMYFUNCTION("""COMPUTED_VALUE"""),"")</f>
        <v/>
      </c>
      <c r="D102" s="249" t="str">
        <f>IFERROR(__xludf.DUMMYFUNCTION("""COMPUTED_VALUE"""),"-")</f>
        <v>-</v>
      </c>
      <c r="E102" s="249" t="b">
        <f>IFERROR(__xludf.DUMMYFUNCTION("""COMPUTED_VALUE"""),FALSE)</f>
        <v>0</v>
      </c>
      <c r="F102" s="263" t="str">
        <f>IFERROR(__xludf.DUMMYFUNCTION("""COMPUTED_VALUE"""),"-")</f>
        <v>-</v>
      </c>
      <c r="G102" s="263"/>
      <c r="H102" s="263"/>
      <c r="I102" s="258"/>
      <c r="J102" s="261"/>
      <c r="K102" s="261"/>
      <c r="L102" s="261"/>
      <c r="M102" s="261"/>
      <c r="N102" s="261"/>
      <c r="O102" s="261"/>
      <c r="P102" s="264"/>
      <c r="Q102" s="261"/>
      <c r="R102" s="261"/>
      <c r="S102" s="261"/>
      <c r="T102" s="261"/>
      <c r="U102" s="255"/>
      <c r="V102" s="255"/>
      <c r="W102" s="261"/>
      <c r="X102" s="261"/>
      <c r="Y102" s="262"/>
    </row>
  </sheetData>
  <mergeCells count="2">
    <mergeCell ref="A1:E1"/>
    <mergeCell ref="F1:H1"/>
  </mergeCells>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3" max="3" width="19.0"/>
    <col customWidth="1" min="4" max="4" width="29.63"/>
    <col customWidth="1" min="5" max="6" width="19.63"/>
    <col customWidth="1" min="7" max="7" width="28.63"/>
  </cols>
  <sheetData>
    <row r="2">
      <c r="B2" s="265" t="s">
        <v>1</v>
      </c>
      <c r="C2" s="265" t="s">
        <v>102</v>
      </c>
      <c r="D2" s="265" t="s">
        <v>103</v>
      </c>
      <c r="E2" s="265" t="s">
        <v>104</v>
      </c>
      <c r="F2" s="265" t="s">
        <v>105</v>
      </c>
      <c r="G2" s="265" t="s">
        <v>106</v>
      </c>
    </row>
    <row r="3">
      <c r="B3" s="265" t="s">
        <v>70</v>
      </c>
      <c r="C3" s="266">
        <f>COUNTIF('DB(読み込みシート※編集厳禁)'!$C$3:$C$102,B3)</f>
        <v>11</v>
      </c>
      <c r="D3" s="265">
        <f t="shared" ref="D3:D10" si="1">SUMIFS($C$3:$C$10,$F$3:$F$10,"&lt;"&amp;F3)</f>
        <v>26</v>
      </c>
      <c r="E3" s="265">
        <f t="shared" ref="E3:E10" si="2">SUMIFS($C$3:$C$10,$G$3:$G$10,"&lt;"&amp;G3)</f>
        <v>43</v>
      </c>
      <c r="F3" s="265">
        <v>4.0</v>
      </c>
      <c r="G3" s="267">
        <v>7.0</v>
      </c>
    </row>
    <row r="4">
      <c r="B4" s="265" t="s">
        <v>72</v>
      </c>
      <c r="C4" s="266">
        <f>COUNTIF('DB(読み込みシート※編集厳禁)'!$C$3:$C$102,B4)</f>
        <v>0</v>
      </c>
      <c r="D4" s="265">
        <f t="shared" si="1"/>
        <v>37</v>
      </c>
      <c r="E4" s="265">
        <f t="shared" si="2"/>
        <v>54</v>
      </c>
      <c r="F4" s="265">
        <v>5.0</v>
      </c>
      <c r="G4" s="267">
        <v>8.0</v>
      </c>
    </row>
    <row r="5">
      <c r="B5" s="265" t="s">
        <v>68</v>
      </c>
      <c r="C5" s="266">
        <f>COUNTIF('DB(読み込みシート※編集厳禁)'!$C$3:$C$102,B5)</f>
        <v>3</v>
      </c>
      <c r="D5" s="265">
        <f t="shared" si="1"/>
        <v>23</v>
      </c>
      <c r="E5" s="265">
        <f t="shared" si="2"/>
        <v>40</v>
      </c>
      <c r="F5" s="265">
        <v>3.0</v>
      </c>
      <c r="G5" s="267">
        <v>6.0</v>
      </c>
    </row>
    <row r="6">
      <c r="B6" s="265" t="s">
        <v>66</v>
      </c>
      <c r="C6" s="266">
        <f>COUNTIF('DB(読み込みシート※編集厳禁)'!$C$3:$C$102,B6)</f>
        <v>13</v>
      </c>
      <c r="D6" s="265">
        <f t="shared" si="1"/>
        <v>10</v>
      </c>
      <c r="E6" s="265">
        <f t="shared" si="2"/>
        <v>27</v>
      </c>
      <c r="F6" s="265">
        <v>2.0</v>
      </c>
      <c r="G6" s="267">
        <v>5.0</v>
      </c>
    </row>
    <row r="7">
      <c r="B7" s="265" t="s">
        <v>73</v>
      </c>
      <c r="C7" s="266">
        <f>COUNTIF('DB(読み込みシート※編集厳禁)'!$C$3:$C$102,B7)</f>
        <v>10</v>
      </c>
      <c r="D7" s="265">
        <f t="shared" si="1"/>
        <v>0</v>
      </c>
      <c r="E7" s="265">
        <f t="shared" si="2"/>
        <v>17</v>
      </c>
      <c r="F7" s="265">
        <v>1.0</v>
      </c>
      <c r="G7" s="267">
        <v>4.0</v>
      </c>
    </row>
    <row r="8">
      <c r="B8" s="265" t="s">
        <v>71</v>
      </c>
      <c r="C8" s="266">
        <f>COUNTIF('DB(読み込みシート※編集厳禁)'!$C$3:$C$102,B8)</f>
        <v>10</v>
      </c>
      <c r="D8" s="265">
        <f t="shared" si="1"/>
        <v>37</v>
      </c>
      <c r="E8" s="265">
        <f t="shared" si="2"/>
        <v>7</v>
      </c>
      <c r="F8" s="265">
        <v>6.0</v>
      </c>
      <c r="G8" s="267">
        <v>3.0</v>
      </c>
    </row>
    <row r="9">
      <c r="B9" s="265" t="s">
        <v>107</v>
      </c>
      <c r="C9" s="266">
        <f>COUNTIF('DB(読み込みシート※編集厳禁)'!$C$3:$C$102,B9)</f>
        <v>4</v>
      </c>
      <c r="D9" s="265">
        <f t="shared" si="1"/>
        <v>47</v>
      </c>
      <c r="E9" s="265">
        <f t="shared" si="2"/>
        <v>3</v>
      </c>
      <c r="F9" s="265">
        <v>7.0</v>
      </c>
      <c r="G9" s="267">
        <v>2.0</v>
      </c>
    </row>
    <row r="10">
      <c r="B10" s="265" t="s">
        <v>108</v>
      </c>
      <c r="C10" s="266">
        <f>COUNTIF('DB(読み込みシート※編集厳禁)'!$C$3:$C$102,B10)</f>
        <v>3</v>
      </c>
      <c r="D10" s="265">
        <f t="shared" si="1"/>
        <v>51</v>
      </c>
      <c r="E10" s="265">
        <f t="shared" si="2"/>
        <v>0</v>
      </c>
      <c r="F10" s="265">
        <v>8.0</v>
      </c>
      <c r="G10" s="267">
        <v>1.0</v>
      </c>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1" width="4.25"/>
    <col customWidth="1" hidden="1" min="2" max="2" width="7.13"/>
    <col customWidth="1" min="3" max="3" width="1.75"/>
    <col customWidth="1" min="4" max="8" width="6.38"/>
    <col customWidth="1" min="9" max="9" width="0.38"/>
  </cols>
  <sheetData>
    <row r="1" ht="25.5" hidden="1" customHeight="1"/>
    <row r="2" ht="6.0" customHeight="1">
      <c r="B2" s="268"/>
      <c r="C2" s="268"/>
    </row>
    <row r="3" ht="48.0" customHeight="1">
      <c r="D3" s="269" t="s">
        <v>109</v>
      </c>
    </row>
    <row r="4" ht="20.25" customHeight="1">
      <c r="D4" s="270">
        <f>NOW()</f>
        <v>46082.17201</v>
      </c>
    </row>
    <row r="5" ht="27.0" customHeight="1">
      <c r="A5" s="86" t="s">
        <v>67</v>
      </c>
      <c r="B5" s="86">
        <v>1.0</v>
      </c>
      <c r="D5" s="271" t="s">
        <v>80</v>
      </c>
      <c r="E5" s="272" t="s">
        <v>81</v>
      </c>
      <c r="F5" s="272" t="s">
        <v>82</v>
      </c>
      <c r="G5" s="273" t="s">
        <v>49</v>
      </c>
      <c r="H5" s="274"/>
    </row>
    <row r="6" ht="27.0" customHeight="1">
      <c r="A6" s="86"/>
      <c r="D6" s="275">
        <f t="array" ref="D6">IFERROR(INDEX('計測入力シート（ここのみ編集可）'!$BN$17:$BN$116,MATCH(A5&amp;B5,'計測入力シート（ここのみ編集可）'!$BO$17:$BO$116,0)),"")</f>
        <v>1</v>
      </c>
      <c r="E6" s="276" t="str">
        <f t="array" ref="E6">IFERROR(INDEX('計測入力シート（ここのみ編集可）'!$BP$17:$BP$116,MATCH(A5&amp;B5,'計測入力シート（ここのみ編集可）'!$BO$17:$BO$116,0)),"")</f>
        <v>-</v>
      </c>
      <c r="F6" s="277" t="str">
        <f t="array" ref="F6">IFERROR(INDEX('計測入力シート（ここのみ編集可）'!$BR$17:$BR$116,MATCH(A5&amp;B5,'計測入力シート（ここのみ編集可）'!$BO$17:$BO$116,0)),"")</f>
        <v>-</v>
      </c>
      <c r="G6" s="278">
        <f t="array" ref="G6">IFERROR(INDEX('計測入力シート（ここのみ編集可）'!$BL$17:$BL$116,MATCH(A5&amp;B5,'計測入力シート（ここのみ編集可）'!$BO$17:$BO$116,0)),"")</f>
        <v>1</v>
      </c>
      <c r="H6" s="279"/>
    </row>
    <row r="7" ht="27.0" customHeight="1">
      <c r="D7" s="280" t="s">
        <v>2</v>
      </c>
      <c r="E7" s="281">
        <f t="array" ref="E7">IFERROR(INDEX('計測入力シート（ここのみ編集可）'!$C$17:$C$116,MATCH(A5&amp;B5,'計測入力シート（ここのみ編集可）'!$BO$17:$BO$116,0)),"")</f>
        <v>54</v>
      </c>
      <c r="F7" s="282" t="s">
        <v>17</v>
      </c>
      <c r="G7" s="283" t="str">
        <f t="array" ref="G7">IFERROR(INDEX('計測入力シート（ここのみ編集可）'!$D$17:$D$116,MATCH(A5&amp;B5,'計測入力シート（ここのみ編集可）'!$BO$17:$BO$116,0)),"")</f>
        <v>OKOK</v>
      </c>
      <c r="H7" s="284"/>
    </row>
    <row r="8" ht="27.0" customHeight="1">
      <c r="D8" s="285" t="s">
        <v>1</v>
      </c>
      <c r="E8" s="286" t="str">
        <f t="array" ref="E8">IFERROR(INDEX('計測入力シート（ここのみ編集可）'!$B$17:$B$116,MATCH(A5&amp;B5,'計測入力シート（ここのみ編集可）'!$BO$17:$BO$116,0)),"")</f>
        <v>A</v>
      </c>
      <c r="F8" s="287" t="s">
        <v>18</v>
      </c>
      <c r="G8" s="288" t="str">
        <f t="array" ref="G8">IFERROR(INDEX('計測入力シート（ここのみ編集可）'!$E$17:$E$116,MATCH(A5&amp;B5,'計測入力シート（ここのみ編集可）'!$BO$17:$BO$116,0)),"")</f>
        <v>NSR250</v>
      </c>
      <c r="H8" s="289"/>
    </row>
    <row r="9" ht="24.75" customHeight="1">
      <c r="D9" s="290" t="s">
        <v>92</v>
      </c>
      <c r="E9" s="291" t="str">
        <f t="array" ref="E9">IFERROR(INDEX(#REF!,MATCH(A5&amp;B5,'計測入力シート（ここのみ編集可）'!$BO$17:$BO$116,0)),"")</f>
        <v/>
      </c>
      <c r="H9" s="232"/>
    </row>
    <row r="10" ht="52.5" customHeight="1">
      <c r="D10" s="292" t="s">
        <v>100</v>
      </c>
      <c r="E10" s="293" t="str">
        <f t="array" ref="E10">IFERROR(INDEX(#REF!,MATCH(A5&amp;B5,'計測入力シート（ここのみ編集可）'!$BO$17:$BO$116,0)),"")</f>
        <v/>
      </c>
      <c r="F10" s="95"/>
      <c r="G10" s="95"/>
      <c r="H10" s="96"/>
    </row>
    <row r="11" ht="20.25" customHeight="1">
      <c r="D11" s="294" t="s">
        <v>39</v>
      </c>
      <c r="E11" s="295" t="str">
        <f t="array" ref="E11">IFERROR(INDEX('計測入力シート（ここのみ編集可）'!$AW$17:$AW$116,MATCH(A5&amp;B5,'計測入力シート（ここのみ編集可）'!$BO$17:$BO$116,0)),"")</f>
        <v>1:37:606</v>
      </c>
      <c r="F11" s="296"/>
      <c r="G11" s="297" t="s">
        <v>110</v>
      </c>
      <c r="H11" s="298" t="str">
        <f t="array" ref="H11">IFERROR(INDEX('計測入力シート（ここのみ編集可）'!$AY$17:$AY$116,MATCH(A5&amp;B5,'計測入力シート（ここのみ編集可）'!$BO$17:$BO$116,0)),"")</f>
        <v>-</v>
      </c>
    </row>
    <row r="12" ht="20.25" customHeight="1">
      <c r="D12" s="299" t="s">
        <v>42</v>
      </c>
      <c r="E12" s="300" t="str">
        <f t="array" ref="E12">IFERROR(INDEX('計測入力シート（ここのみ編集可）'!$AZ$17:$AZ$116,MATCH(A5&amp;B5,'計測入力シート（ここのみ編集可）'!$BO$17:$BO$116,0)),"")</f>
        <v>1:37:784</v>
      </c>
      <c r="F12" s="116"/>
      <c r="G12" s="301" t="s">
        <v>111</v>
      </c>
      <c r="H12" s="302" t="str">
        <f t="array" ref="H12">IFERROR(INDEX('計測入力シート（ここのみ編集可）'!$BB$17:$BB$116,MATCH(A5&amp;B5,'計測入力シート（ここのみ編集可）'!$BO$17:$BO$116,0)),"")</f>
        <v>-</v>
      </c>
    </row>
    <row r="13" ht="20.25" customHeight="1">
      <c r="D13" s="303" t="s">
        <v>112</v>
      </c>
      <c r="E13" s="304" t="str">
        <f t="array" ref="E13">IFERROR(INDEX('計測入力シート（ここのみ編集可）'!$BC$17:$BC$116,MATCH(A5&amp;B5,'計測入力シート（ここのみ編集可）'!$BO$17:$BO$116,0)),"")</f>
        <v>1:37:606</v>
      </c>
      <c r="F13" s="305"/>
      <c r="G13" s="306" t="s">
        <v>25</v>
      </c>
      <c r="H13" s="307">
        <f t="array" ref="H13">IFERROR(INDEX('計測入力シート（ここのみ編集可）'!$BD$17:$BD$116,MATCH(A5&amp;B5,'計測入力シート（ここのみ編集可）'!$BO$17:$BO$116,0)),"")</f>
        <v>1</v>
      </c>
    </row>
    <row r="14" ht="20.25" customHeight="1">
      <c r="D14" s="308"/>
    </row>
    <row r="15" ht="27.0" customHeight="1">
      <c r="A15" s="52" t="str">
        <f>A5</f>
        <v>A</v>
      </c>
      <c r="B15" s="52">
        <f>B5+1</f>
        <v>2</v>
      </c>
      <c r="D15" s="271" t="s">
        <v>80</v>
      </c>
      <c r="E15" s="272" t="s">
        <v>81</v>
      </c>
      <c r="F15" s="272" t="s">
        <v>82</v>
      </c>
      <c r="G15" s="273" t="s">
        <v>49</v>
      </c>
      <c r="H15" s="274"/>
    </row>
    <row r="16" ht="27.0" customHeight="1">
      <c r="A16" s="86"/>
      <c r="B16" s="86"/>
      <c r="D16" s="275">
        <f t="array" ref="D16">IFERROR(INDEX('計測入力シート（ここのみ編集可）'!$BN$17:$BN$116,MATCH(A15&amp;B15,'計測入力シート（ここのみ編集可）'!$BO$17:$BO$116,0)),"")</f>
        <v>2</v>
      </c>
      <c r="E16" s="276" t="str">
        <f t="array" ref="E16">IFERROR(INDEX('計測入力シート（ここのみ編集可）'!$BP$17:$BP$116,MATCH(A15&amp;B15,'計測入力シート（ここのみ編集可）'!$BO$17:$BO$116,0)),"")</f>
        <v>-</v>
      </c>
      <c r="F16" s="277" t="str">
        <f t="array" ref="F16">IFERROR(INDEX('計測入力シート（ここのみ編集可）'!$BR$17:$BR$116,MATCH(A15&amp;B15,'計測入力シート（ここのみ編集可）'!$BO$17:$BO$116,0)),"")</f>
        <v>-</v>
      </c>
      <c r="G16" s="278">
        <f t="array" ref="G16">IFERROR(INDEX('計測入力シート（ここのみ編集可）'!$BL$17:$BL$116,MATCH(A15&amp;B15,'計測入力シート（ここのみ編集可）'!$BO$17:$BO$116,0)),"")</f>
        <v>3</v>
      </c>
      <c r="H16" s="279"/>
    </row>
    <row r="17" ht="27.0" customHeight="1">
      <c r="D17" s="280" t="s">
        <v>2</v>
      </c>
      <c r="E17" s="281">
        <f t="array" ref="E17">IFERROR(INDEX('計測入力シート（ここのみ編集可）'!$C$17:$C$116,MATCH(A15&amp;B15,'計測入力シート（ここのみ編集可）'!$BO$17:$BO$116,0)),"")</f>
        <v>53</v>
      </c>
      <c r="F17" s="282" t="s">
        <v>17</v>
      </c>
      <c r="G17" s="283" t="str">
        <f t="array" ref="G17">IFERROR(INDEX('計測入力シート（ここのみ編集可）'!$D$17:$D$116,MATCH(A15&amp;B15,'計測入力シート（ここのみ編集可）'!$BO$17:$BO$116,0)),"")</f>
        <v>ray</v>
      </c>
      <c r="H17" s="284"/>
    </row>
    <row r="18" ht="27.0" customHeight="1">
      <c r="D18" s="285" t="s">
        <v>1</v>
      </c>
      <c r="E18" s="286" t="str">
        <f t="array" ref="E18">IFERROR(INDEX('計測入力シート（ここのみ編集可）'!$B$17:$B$116,MATCH(A15&amp;B15,'計測入力シート（ここのみ編集可）'!$BO$17:$BO$116,0)),"")</f>
        <v>A</v>
      </c>
      <c r="F18" s="287" t="s">
        <v>18</v>
      </c>
      <c r="G18" s="288" t="str">
        <f t="array" ref="G18">IFERROR(INDEX('計測入力シート（ここのみ編集可）'!$E$17:$E$116,MATCH(A15&amp;B15,'計測入力シート（ここのみ編集可）'!$BO$17:$BO$116,0)),"")</f>
        <v>YZ250X</v>
      </c>
      <c r="H18" s="289"/>
    </row>
    <row r="19" ht="24.75" customHeight="1">
      <c r="D19" s="290" t="s">
        <v>92</v>
      </c>
      <c r="E19" s="291" t="str">
        <f t="array" ref="E19">IFERROR(INDEX(#REF!,MATCH(A15&amp;B15,'計測入力シート（ここのみ編集可）'!$BO$17:$BO$116,0)),"")</f>
        <v/>
      </c>
      <c r="H19" s="232"/>
    </row>
    <row r="20" ht="52.5" customHeight="1">
      <c r="D20" s="292" t="s">
        <v>100</v>
      </c>
      <c r="E20" s="293" t="str">
        <f t="array" ref="E20">IFERROR(INDEX(#REF!,MATCH(A15&amp;B15,'計測入力シート（ここのみ編集可）'!$BO$17:$BO$116,0)),"")</f>
        <v/>
      </c>
      <c r="F20" s="95"/>
      <c r="G20" s="95"/>
      <c r="H20" s="96"/>
    </row>
    <row r="21" ht="20.25" customHeight="1">
      <c r="D21" s="294" t="s">
        <v>39</v>
      </c>
      <c r="E21" s="295" t="str">
        <f t="array" ref="E21">IFERROR(INDEX('計測入力シート（ここのみ編集可）'!$AW$17:$AW$116,MATCH(A15&amp;B15,'計測入力シート（ここのみ編集可）'!$BO$17:$BO$116,0)),"")</f>
        <v>1:39:220</v>
      </c>
      <c r="F21" s="296"/>
      <c r="G21" s="297" t="s">
        <v>110</v>
      </c>
      <c r="H21" s="298">
        <f t="array" ref="H21">IFERROR(INDEX('計測入力シート（ここのみ編集可）'!$AY$17:$AY$116,MATCH(A15&amp;B15,'計測入力シート（ここのみ編集可）'!$BO$17:$BO$116,0)),"")</f>
        <v>1</v>
      </c>
    </row>
    <row r="22" ht="20.25" customHeight="1">
      <c r="D22" s="299" t="s">
        <v>42</v>
      </c>
      <c r="E22" s="300" t="str">
        <f t="array" ref="E22">IFERROR(INDEX('計測入力シート（ここのみ編集可）'!$AZ$17:$AZ$116,MATCH(A15&amp;B15,'計測入力シート（ここのみ編集可）'!$BO$17:$BO$116,0)),"")</f>
        <v>9:99:999</v>
      </c>
      <c r="F22" s="116"/>
      <c r="G22" s="301" t="s">
        <v>111</v>
      </c>
      <c r="H22" s="302" t="str">
        <f t="array" ref="H22">IFERROR(INDEX('計測入力シート（ここのみ編集可）'!$BB$17:$BB$116,MATCH(A15&amp;B15,'計測入力シート（ここのみ編集可）'!$BO$17:$BO$116,0)),"")</f>
        <v>MC</v>
      </c>
    </row>
    <row r="23" ht="20.25" customHeight="1">
      <c r="D23" s="303" t="s">
        <v>112</v>
      </c>
      <c r="E23" s="304" t="str">
        <f t="array" ref="E23">IFERROR(INDEX('計測入力シート（ここのみ編集可）'!$BC$17:$BC$116,MATCH(A15&amp;B15,'計測入力シート（ここのみ編集可）'!$BO$17:$BO$116,0)),"")</f>
        <v>1:40:220</v>
      </c>
      <c r="F23" s="305"/>
      <c r="G23" s="306" t="s">
        <v>25</v>
      </c>
      <c r="H23" s="307">
        <f t="array" ref="H23">IFERROR(INDEX('計測入力シート（ここのみ編集可）'!$BD$17:$BD$116,MATCH(A15&amp;B15,'計測入力シート（ここのみ編集可）'!$BO$17:$BO$116,0)),"")</f>
        <v>1.026781141</v>
      </c>
    </row>
    <row r="24" ht="20.25" customHeight="1">
      <c r="D24" s="308"/>
    </row>
    <row r="25" ht="27.0" customHeight="1">
      <c r="A25" s="52" t="str">
        <f>A15</f>
        <v>A</v>
      </c>
      <c r="B25" s="52">
        <f>B15+1</f>
        <v>3</v>
      </c>
      <c r="D25" s="271" t="s">
        <v>80</v>
      </c>
      <c r="E25" s="272" t="s">
        <v>81</v>
      </c>
      <c r="F25" s="272" t="s">
        <v>82</v>
      </c>
      <c r="G25" s="273" t="s">
        <v>49</v>
      </c>
      <c r="H25" s="274"/>
    </row>
    <row r="26" ht="27.0" customHeight="1">
      <c r="A26" s="86"/>
      <c r="B26" s="86"/>
      <c r="D26" s="275">
        <f t="array" ref="D26">IFERROR(INDEX('計測入力シート（ここのみ編集可）'!$BN$17:$BN$116,MATCH(A25&amp;B25,'計測入力シート（ここのみ編集可）'!$BO$17:$BO$116,0)),"")</f>
        <v>3</v>
      </c>
      <c r="E26" s="276" t="str">
        <f t="array" ref="E26">IFERROR(INDEX('計測入力シート（ここのみ編集可）'!$BP$17:$BP$116,MATCH(A25&amp;B25,'計測入力シート（ここのみ編集可）'!$BO$17:$BO$116,0)),"")</f>
        <v>-</v>
      </c>
      <c r="F26" s="277" t="str">
        <f t="array" ref="F26">IFERROR(INDEX('計測入力シート（ここのみ編集可）'!$BR$17:$BR$116,MATCH(A25&amp;B25,'計測入力シート（ここのみ編集可）'!$BO$17:$BO$116,0)),"")</f>
        <v>-</v>
      </c>
      <c r="G26" s="278">
        <f t="array" ref="G26">IFERROR(INDEX('計測入力シート（ここのみ編集可）'!$BL$17:$BL$116,MATCH(A25&amp;B25,'計測入力シート（ここのみ編集可）'!$BO$17:$BO$116,0)),"")</f>
        <v>51</v>
      </c>
      <c r="H26" s="279"/>
    </row>
    <row r="27" ht="27.0" customHeight="1">
      <c r="D27" s="280" t="s">
        <v>2</v>
      </c>
      <c r="E27" s="281">
        <f t="array" ref="E27">IFERROR(INDEX('計測入力シート（ここのみ編集可）'!$C$17:$C$116,MATCH(A25&amp;B25,'計測入力シート（ここのみ編集可）'!$BO$17:$BO$116,0)),"")</f>
        <v>52</v>
      </c>
      <c r="F27" s="282" t="s">
        <v>17</v>
      </c>
      <c r="G27" s="283" t="str">
        <f t="array" ref="G27">IFERROR(INDEX('計測入力シート（ここのみ編集可）'!$D$17:$D$116,MATCH(A25&amp;B25,'計測入力シート（ここのみ編集可）'!$BO$17:$BO$116,0)),"")</f>
        <v>しゃんばり</v>
      </c>
      <c r="H27" s="284"/>
    </row>
    <row r="28" ht="27.0" customHeight="1">
      <c r="D28" s="285" t="s">
        <v>1</v>
      </c>
      <c r="E28" s="286" t="str">
        <f t="array" ref="E28">IFERROR(INDEX('計測入力シート（ここのみ編集可）'!$B$17:$B$116,MATCH(A25&amp;B25,'計測入力シート（ここのみ編集可）'!$BO$17:$BO$116,0)),"")</f>
        <v>A</v>
      </c>
      <c r="F28" s="287" t="s">
        <v>18</v>
      </c>
      <c r="G28" s="288" t="str">
        <f t="array" ref="G28">IFERROR(INDEX('計測入力シート（ここのみ編集可）'!$E$17:$E$116,MATCH(A25&amp;B25,'計測入力シート（ここのみ編集可）'!$BO$17:$BO$116,0)),"")</f>
        <v>VTR</v>
      </c>
      <c r="H28" s="289"/>
    </row>
    <row r="29" ht="24.75" customHeight="1">
      <c r="D29" s="290" t="s">
        <v>92</v>
      </c>
      <c r="E29" s="291" t="str">
        <f t="array" ref="E29">IFERROR(INDEX(#REF!,MATCH(A25&amp;B25,'計測入力シート（ここのみ編集可）'!$BO$17:$BO$116,0)),"")</f>
        <v/>
      </c>
      <c r="H29" s="232"/>
    </row>
    <row r="30" ht="52.5" customHeight="1">
      <c r="D30" s="292" t="s">
        <v>100</v>
      </c>
      <c r="E30" s="293" t="str">
        <f t="array" ref="E30">IFERROR(INDEX(#REF!,MATCH(A25&amp;B25,'計測入力シート（ここのみ編集可）'!$BO$17:$BO$116,0)),"")</f>
        <v/>
      </c>
      <c r="F30" s="95"/>
      <c r="G30" s="95"/>
      <c r="H30" s="96"/>
    </row>
    <row r="31" ht="20.25" customHeight="1">
      <c r="D31" s="294" t="s">
        <v>39</v>
      </c>
      <c r="E31" s="295" t="str">
        <f t="array" ref="E31">IFERROR(INDEX('計測入力シート（ここのみ編集可）'!$AW$17:$AW$116,MATCH(A25&amp;B25,'計測入力シート（ここのみ編集可）'!$BO$17:$BO$116,0)),"")</f>
        <v>9:99:999</v>
      </c>
      <c r="F31" s="296"/>
      <c r="G31" s="297" t="s">
        <v>110</v>
      </c>
      <c r="H31" s="298" t="str">
        <f t="array" ref="H31">IFERROR(INDEX('計測入力シート（ここのみ編集可）'!$AY$17:$AY$116,MATCH(A25&amp;B25,'計測入力シート（ここのみ編集可）'!$BO$17:$BO$116,0)),"")</f>
        <v>MC</v>
      </c>
    </row>
    <row r="32" ht="20.25" customHeight="1">
      <c r="D32" s="299" t="s">
        <v>42</v>
      </c>
      <c r="E32" s="300" t="str">
        <f t="array" ref="E32">IFERROR(INDEX('計測入力シート（ここのみ編集可）'!$AZ$17:$AZ$116,MATCH(A25&amp;B25,'計測入力シート（ここのみ編集可）'!$BO$17:$BO$116,0)),"")</f>
        <v>9:99:999</v>
      </c>
      <c r="F32" s="116"/>
      <c r="G32" s="301" t="s">
        <v>111</v>
      </c>
      <c r="H32" s="302" t="str">
        <f t="array" ref="H32">IFERROR(INDEX('計測入力シート（ここのみ編集可）'!$BB$17:$BB$116,MATCH(A25&amp;B25,'計測入力シート（ここのみ編集可）'!$BO$17:$BO$116,0)),"")</f>
        <v>MC</v>
      </c>
    </row>
    <row r="33" ht="20.25" customHeight="1">
      <c r="D33" s="303" t="s">
        <v>112</v>
      </c>
      <c r="E33" s="304" t="str">
        <f t="array" ref="E33">IFERROR(INDEX('計測入力シート（ここのみ編集可）'!$BC$17:$BC$116,MATCH(A25&amp;B25,'計測入力シート（ここのみ編集可）'!$BO$17:$BO$116,0)),"")</f>
        <v>9:99:999</v>
      </c>
      <c r="F33" s="305"/>
      <c r="G33" s="306" t="s">
        <v>25</v>
      </c>
      <c r="H33" s="307" t="str">
        <f t="array" ref="H33">IFERROR(INDEX('計測入力シート（ここのみ編集可）'!$BD$17:$BD$116,MATCH(A25&amp;B25,'計測入力シート（ここのみ編集可）'!$BO$17:$BO$116,0)),"")</f>
        <v>-</v>
      </c>
    </row>
    <row r="34" ht="20.25" customHeight="1">
      <c r="D34" s="308"/>
    </row>
    <row r="35" ht="27.0" customHeight="1">
      <c r="A35" s="52" t="str">
        <f>A25</f>
        <v>A</v>
      </c>
      <c r="B35" s="52">
        <f>B25+1</f>
        <v>4</v>
      </c>
      <c r="D35" s="271" t="s">
        <v>80</v>
      </c>
      <c r="E35" s="272" t="s">
        <v>81</v>
      </c>
      <c r="F35" s="272" t="s">
        <v>82</v>
      </c>
      <c r="G35" s="273" t="s">
        <v>49</v>
      </c>
      <c r="H35" s="274"/>
    </row>
    <row r="36" ht="27.0" customHeight="1">
      <c r="A36" s="86"/>
      <c r="B36" s="86"/>
      <c r="D36" s="275" t="str">
        <f t="array" ref="D36">IFERROR(INDEX('計測入力シート（ここのみ編集可）'!$BN$17:$BN$116,MATCH(A35&amp;B35,'計測入力シート（ここのみ編集可）'!$BO$17:$BO$116,0)),"")</f>
        <v/>
      </c>
      <c r="E36" s="276" t="str">
        <f t="array" ref="E36">IFERROR(INDEX('計測入力シート（ここのみ編集可）'!$BP$17:$BP$116,MATCH(A35&amp;B35,'計測入力シート（ここのみ編集可）'!$BO$17:$BO$116,0)),"")</f>
        <v/>
      </c>
      <c r="F36" s="277" t="str">
        <f t="array" ref="F36">IFERROR(INDEX('計測入力シート（ここのみ編集可）'!$BR$17:$BR$116,MATCH(A35&amp;B35,'計測入力シート（ここのみ編集可）'!$BO$17:$BO$116,0)),"")</f>
        <v/>
      </c>
      <c r="G36" s="278" t="str">
        <f t="array" ref="G36">IFERROR(INDEX('計測入力シート（ここのみ編集可）'!$BL$17:$BL$116,MATCH(A35&amp;B35,'計測入力シート（ここのみ編集可）'!$BO$17:$BO$116,0)),"")</f>
        <v/>
      </c>
      <c r="H36" s="279"/>
    </row>
    <row r="37" ht="27.0" customHeight="1">
      <c r="D37" s="280" t="s">
        <v>2</v>
      </c>
      <c r="E37" s="281" t="str">
        <f t="array" ref="E37">IFERROR(INDEX('計測入力シート（ここのみ編集可）'!$C$17:$C$116,MATCH(A35&amp;B35,'計測入力シート（ここのみ編集可）'!$BO$17:$BO$116,0)),"")</f>
        <v/>
      </c>
      <c r="F37" s="282" t="s">
        <v>17</v>
      </c>
      <c r="G37" s="283" t="str">
        <f t="array" ref="G37">IFERROR(INDEX('計測入力シート（ここのみ編集可）'!$D$17:$D$116,MATCH(A35&amp;B35,'計測入力シート（ここのみ編集可）'!$BO$17:$BO$116,0)),"")</f>
        <v/>
      </c>
      <c r="H37" s="284"/>
    </row>
    <row r="38" ht="27.0" customHeight="1">
      <c r="D38" s="285" t="s">
        <v>1</v>
      </c>
      <c r="E38" s="286" t="str">
        <f t="array" ref="E38">IFERROR(INDEX('計測入力シート（ここのみ編集可）'!$B$17:$B$116,MATCH(A35&amp;B35,'計測入力シート（ここのみ編集可）'!$BO$17:$BO$116,0)),"")</f>
        <v/>
      </c>
      <c r="F38" s="287" t="s">
        <v>18</v>
      </c>
      <c r="G38" s="288" t="str">
        <f t="array" ref="G38">IFERROR(INDEX('計測入力シート（ここのみ編集可）'!$E$17:$E$116,MATCH(A35&amp;B35,'計測入力シート（ここのみ編集可）'!$BO$17:$BO$116,0)),"")</f>
        <v/>
      </c>
      <c r="H38" s="289"/>
    </row>
    <row r="39" ht="24.75" customHeight="1">
      <c r="D39" s="290" t="s">
        <v>92</v>
      </c>
      <c r="E39" s="291" t="str">
        <f t="array" ref="E39">IFERROR(INDEX(#REF!,MATCH(A35&amp;B35,'計測入力シート（ここのみ編集可）'!$BO$17:$BO$116,0)),"")</f>
        <v/>
      </c>
      <c r="H39" s="232"/>
    </row>
    <row r="40" ht="52.5" customHeight="1">
      <c r="D40" s="292" t="s">
        <v>100</v>
      </c>
      <c r="E40" s="293" t="str">
        <f t="array" ref="E40">IFERROR(INDEX(#REF!,MATCH(A35&amp;B35,'計測入力シート（ここのみ編集可）'!$BO$17:$BO$116,0)),"")</f>
        <v/>
      </c>
      <c r="F40" s="95"/>
      <c r="G40" s="95"/>
      <c r="H40" s="96"/>
    </row>
    <row r="41" ht="20.25" customHeight="1">
      <c r="D41" s="294" t="s">
        <v>39</v>
      </c>
      <c r="E41" s="295" t="str">
        <f t="array" ref="E41">IFERROR(INDEX('計測入力シート（ここのみ編集可）'!$AW$17:$AW$116,MATCH(A35&amp;B35,'計測入力シート（ここのみ編集可）'!$BO$17:$BO$116,0)),"")</f>
        <v/>
      </c>
      <c r="F41" s="296"/>
      <c r="G41" s="297" t="s">
        <v>110</v>
      </c>
      <c r="H41" s="298" t="str">
        <f t="array" ref="H41">IFERROR(INDEX('計測入力シート（ここのみ編集可）'!$AY$17:$AY$116,MATCH(A35&amp;B35,'計測入力シート（ここのみ編集可）'!$BO$17:$BO$116,0)),"")</f>
        <v/>
      </c>
    </row>
    <row r="42" ht="20.25" customHeight="1">
      <c r="D42" s="299" t="s">
        <v>42</v>
      </c>
      <c r="E42" s="300" t="str">
        <f t="array" ref="E42">IFERROR(INDEX('計測入力シート（ここのみ編集可）'!$AZ$17:$AZ$116,MATCH(A35&amp;B35,'計測入力シート（ここのみ編集可）'!$BO$17:$BO$116,0)),"")</f>
        <v/>
      </c>
      <c r="F42" s="116"/>
      <c r="G42" s="301" t="s">
        <v>111</v>
      </c>
      <c r="H42" s="302" t="str">
        <f t="array" ref="H42">IFERROR(INDEX('計測入力シート（ここのみ編集可）'!$BB$17:$BB$116,MATCH(A35&amp;B35,'計測入力シート（ここのみ編集可）'!$BO$17:$BO$116,0)),"")</f>
        <v/>
      </c>
    </row>
    <row r="43" ht="20.25" customHeight="1">
      <c r="D43" s="303" t="s">
        <v>112</v>
      </c>
      <c r="E43" s="304" t="str">
        <f t="array" ref="E43">IFERROR(INDEX('計測入力シート（ここのみ編集可）'!$BC$17:$BC$116,MATCH(A35&amp;B35,'計測入力シート（ここのみ編集可）'!$BO$17:$BO$116,0)),"")</f>
        <v/>
      </c>
      <c r="F43" s="305"/>
      <c r="G43" s="306" t="s">
        <v>25</v>
      </c>
      <c r="H43" s="307" t="str">
        <f t="array" ref="H43">IFERROR(INDEX('計測入力シート（ここのみ編集可）'!$BD$17:$BD$116,MATCH(A35&amp;B35,'計測入力シート（ここのみ編集可）'!$BO$17:$BO$116,0)),"")</f>
        <v/>
      </c>
    </row>
    <row r="44" ht="20.25" customHeight="1">
      <c r="D44" s="308"/>
    </row>
    <row r="45" ht="27.0" customHeight="1">
      <c r="A45" s="52" t="str">
        <f>A35</f>
        <v>A</v>
      </c>
      <c r="B45" s="52">
        <f>B35+1</f>
        <v>5</v>
      </c>
      <c r="D45" s="271" t="s">
        <v>80</v>
      </c>
      <c r="E45" s="272" t="s">
        <v>81</v>
      </c>
      <c r="F45" s="272" t="s">
        <v>82</v>
      </c>
      <c r="G45" s="273" t="s">
        <v>49</v>
      </c>
      <c r="H45" s="274"/>
    </row>
    <row r="46" ht="27.0" customHeight="1">
      <c r="A46" s="86"/>
      <c r="B46" s="86"/>
      <c r="D46" s="275" t="str">
        <f t="array" ref="D46">IFERROR(INDEX('計測入力シート（ここのみ編集可）'!$BN$17:$BN$116,MATCH(A45&amp;B45,'計測入力シート（ここのみ編集可）'!$BO$17:$BO$116,0)),"")</f>
        <v/>
      </c>
      <c r="E46" s="276" t="str">
        <f t="array" ref="E46">IFERROR(INDEX('計測入力シート（ここのみ編集可）'!$BP$17:$BP$116,MATCH(A45&amp;B45,'計測入力シート（ここのみ編集可）'!$BO$17:$BO$116,0)),"")</f>
        <v/>
      </c>
      <c r="F46" s="277" t="str">
        <f t="array" ref="F46">IFERROR(INDEX('計測入力シート（ここのみ編集可）'!$BR$17:$BR$116,MATCH(A45&amp;B45,'計測入力シート（ここのみ編集可）'!$BO$17:$BO$116,0)),"")</f>
        <v/>
      </c>
      <c r="G46" s="278" t="str">
        <f t="array" ref="G46">IFERROR(INDEX('計測入力シート（ここのみ編集可）'!$BL$17:$BL$116,MATCH(A45&amp;B45,'計測入力シート（ここのみ編集可）'!$BO$17:$BO$116,0)),"")</f>
        <v/>
      </c>
      <c r="H46" s="279"/>
    </row>
    <row r="47" ht="27.0" customHeight="1">
      <c r="D47" s="280" t="s">
        <v>2</v>
      </c>
      <c r="E47" s="281" t="str">
        <f t="array" ref="E47">IFERROR(INDEX('計測入力シート（ここのみ編集可）'!$C$17:$C$116,MATCH(A45&amp;B45,'計測入力シート（ここのみ編集可）'!$BO$17:$BO$116,0)),"")</f>
        <v/>
      </c>
      <c r="F47" s="282" t="s">
        <v>17</v>
      </c>
      <c r="G47" s="283" t="str">
        <f t="array" ref="G47">IFERROR(INDEX('計測入力シート（ここのみ編集可）'!$D$17:$D$116,MATCH(A45&amp;B45,'計測入力シート（ここのみ編集可）'!$BO$17:$BO$116,0)),"")</f>
        <v/>
      </c>
      <c r="H47" s="284"/>
    </row>
    <row r="48" ht="27.0" customHeight="1">
      <c r="D48" s="285" t="s">
        <v>1</v>
      </c>
      <c r="E48" s="286" t="str">
        <f t="array" ref="E48">IFERROR(INDEX('計測入力シート（ここのみ編集可）'!$B$17:$B$116,MATCH(A45&amp;B45,'計測入力シート（ここのみ編集可）'!$BO$17:$BO$116,0)),"")</f>
        <v/>
      </c>
      <c r="F48" s="287" t="s">
        <v>18</v>
      </c>
      <c r="G48" s="288" t="str">
        <f t="array" ref="G48">IFERROR(INDEX('計測入力シート（ここのみ編集可）'!$E$17:$E$116,MATCH(A45&amp;B45,'計測入力シート（ここのみ編集可）'!$BO$17:$BO$116,0)),"")</f>
        <v/>
      </c>
      <c r="H48" s="289"/>
    </row>
    <row r="49" ht="24.75" customHeight="1">
      <c r="D49" s="290" t="s">
        <v>92</v>
      </c>
      <c r="E49" s="291" t="str">
        <f t="array" ref="E49">IFERROR(INDEX(#REF!,MATCH(A45&amp;B45,'計測入力シート（ここのみ編集可）'!$BO$17:$BO$116,0)),"")</f>
        <v/>
      </c>
      <c r="H49" s="232"/>
    </row>
    <row r="50" ht="52.5" customHeight="1">
      <c r="D50" s="292" t="s">
        <v>100</v>
      </c>
      <c r="E50" s="293" t="str">
        <f t="array" ref="E50">IFERROR(INDEX(#REF!,MATCH(A45&amp;B45,'計測入力シート（ここのみ編集可）'!$BO$17:$BO$116,0)),"")</f>
        <v/>
      </c>
      <c r="F50" s="95"/>
      <c r="G50" s="95"/>
      <c r="H50" s="96"/>
    </row>
    <row r="51" ht="20.25" customHeight="1">
      <c r="D51" s="294" t="s">
        <v>39</v>
      </c>
      <c r="E51" s="295" t="str">
        <f t="array" ref="E51">IFERROR(INDEX('計測入力シート（ここのみ編集可）'!$AW$17:$AW$116,MATCH(A45&amp;B45,'計測入力シート（ここのみ編集可）'!$BO$17:$BO$116,0)),"")</f>
        <v/>
      </c>
      <c r="F51" s="296"/>
      <c r="G51" s="297" t="s">
        <v>110</v>
      </c>
      <c r="H51" s="298" t="str">
        <f t="array" ref="H51">IFERROR(INDEX('計測入力シート（ここのみ編集可）'!$AY$17:$AY$116,MATCH(A45&amp;B45,'計測入力シート（ここのみ編集可）'!$BO$17:$BO$116,0)),"")</f>
        <v/>
      </c>
    </row>
    <row r="52" ht="20.25" customHeight="1">
      <c r="D52" s="299" t="s">
        <v>42</v>
      </c>
      <c r="E52" s="300" t="str">
        <f t="array" ref="E52">IFERROR(INDEX('計測入力シート（ここのみ編集可）'!$AZ$17:$AZ$116,MATCH(A45&amp;B45,'計測入力シート（ここのみ編集可）'!$BO$17:$BO$116,0)),"")</f>
        <v/>
      </c>
      <c r="F52" s="116"/>
      <c r="G52" s="301" t="s">
        <v>111</v>
      </c>
      <c r="H52" s="302" t="str">
        <f t="array" ref="H52">IFERROR(INDEX('計測入力シート（ここのみ編集可）'!$BB$17:$BB$116,MATCH(A45&amp;B45,'計測入力シート（ここのみ編集可）'!$BO$17:$BO$116,0)),"")</f>
        <v/>
      </c>
    </row>
    <row r="53" ht="20.25" customHeight="1">
      <c r="D53" s="303" t="s">
        <v>112</v>
      </c>
      <c r="E53" s="304" t="str">
        <f t="array" ref="E53">IFERROR(INDEX('計測入力シート（ここのみ編集可）'!$BC$17:$BC$116,MATCH(A45&amp;B45,'計測入力シート（ここのみ編集可）'!$BO$17:$BO$116,0)),"")</f>
        <v/>
      </c>
      <c r="F53" s="305"/>
      <c r="G53" s="306" t="s">
        <v>25</v>
      </c>
      <c r="H53" s="307" t="str">
        <f t="array" ref="H53">IFERROR(INDEX('計測入力シート（ここのみ編集可）'!$BD$17:$BD$116,MATCH(A45&amp;B45,'計測入力シート（ここのみ編集可）'!$BO$17:$BO$116,0)),"")</f>
        <v/>
      </c>
    </row>
    <row r="54" ht="20.25" customHeight="1">
      <c r="D54" s="308"/>
    </row>
    <row r="55" ht="27.0" customHeight="1">
      <c r="A55" s="52" t="str">
        <f>A45</f>
        <v>A</v>
      </c>
      <c r="B55" s="52">
        <f>B45+1</f>
        <v>6</v>
      </c>
      <c r="D55" s="271" t="s">
        <v>80</v>
      </c>
      <c r="E55" s="272" t="s">
        <v>81</v>
      </c>
      <c r="F55" s="272" t="s">
        <v>82</v>
      </c>
      <c r="G55" s="273" t="s">
        <v>49</v>
      </c>
      <c r="H55" s="274"/>
    </row>
    <row r="56" ht="27.0" customHeight="1">
      <c r="A56" s="86"/>
      <c r="B56" s="86"/>
      <c r="D56" s="275" t="str">
        <f t="array" ref="D56">IFERROR(INDEX('計測入力シート（ここのみ編集可）'!$BN$17:$BN$116,MATCH(A55&amp;B55,'計測入力シート（ここのみ編集可）'!$BO$17:$BO$116,0)),"")</f>
        <v/>
      </c>
      <c r="E56" s="276" t="str">
        <f t="array" ref="E56">IFERROR(INDEX('計測入力シート（ここのみ編集可）'!$BP$17:$BP$116,MATCH(A55&amp;B55,'計測入力シート（ここのみ編集可）'!$BO$17:$BO$116,0)),"")</f>
        <v/>
      </c>
      <c r="F56" s="277" t="str">
        <f t="array" ref="F56">IFERROR(INDEX('計測入力シート（ここのみ編集可）'!$BR$17:$BR$116,MATCH(A55&amp;B55,'計測入力シート（ここのみ編集可）'!$BO$17:$BO$116,0)),"")</f>
        <v/>
      </c>
      <c r="G56" s="278" t="str">
        <f t="array" ref="G56">IFERROR(INDEX('計測入力シート（ここのみ編集可）'!$BL$17:$BL$116,MATCH(A55&amp;B55,'計測入力シート（ここのみ編集可）'!$BO$17:$BO$116,0)),"")</f>
        <v/>
      </c>
      <c r="H56" s="279"/>
    </row>
    <row r="57" ht="27.0" customHeight="1">
      <c r="D57" s="280" t="s">
        <v>2</v>
      </c>
      <c r="E57" s="281" t="str">
        <f t="array" ref="E57">IFERROR(INDEX('計測入力シート（ここのみ編集可）'!$C$17:$C$116,MATCH(A55&amp;B55,'計測入力シート（ここのみ編集可）'!$BO$17:$BO$116,0)),"")</f>
        <v/>
      </c>
      <c r="F57" s="282" t="s">
        <v>17</v>
      </c>
      <c r="G57" s="283" t="str">
        <f t="array" ref="G57">IFERROR(INDEX('計測入力シート（ここのみ編集可）'!$D$17:$D$116,MATCH(A55&amp;B55,'計測入力シート（ここのみ編集可）'!$BO$17:$BO$116,0)),"")</f>
        <v/>
      </c>
      <c r="H57" s="284"/>
    </row>
    <row r="58" ht="27.0" customHeight="1">
      <c r="D58" s="285" t="s">
        <v>1</v>
      </c>
      <c r="E58" s="286" t="str">
        <f t="array" ref="E58">IFERROR(INDEX('計測入力シート（ここのみ編集可）'!$B$17:$B$116,MATCH(A55&amp;B55,'計測入力シート（ここのみ編集可）'!$BO$17:$BO$116,0)),"")</f>
        <v/>
      </c>
      <c r="F58" s="287" t="s">
        <v>18</v>
      </c>
      <c r="G58" s="288" t="str">
        <f t="array" ref="G58">IFERROR(INDEX('計測入力シート（ここのみ編集可）'!$E$17:$E$116,MATCH(A55&amp;B55,'計測入力シート（ここのみ編集可）'!$BO$17:$BO$116,0)),"")</f>
        <v/>
      </c>
      <c r="H58" s="289"/>
    </row>
    <row r="59" ht="24.75" customHeight="1">
      <c r="D59" s="290" t="s">
        <v>92</v>
      </c>
      <c r="E59" s="291" t="str">
        <f t="array" ref="E59">IFERROR(INDEX(#REF!,MATCH(A55&amp;B55,'計測入力シート（ここのみ編集可）'!$BO$17:$BO$116,0)),"")</f>
        <v/>
      </c>
      <c r="H59" s="232"/>
    </row>
    <row r="60" ht="52.5" customHeight="1">
      <c r="D60" s="292" t="s">
        <v>100</v>
      </c>
      <c r="E60" s="293" t="str">
        <f t="array" ref="E60">IFERROR(INDEX(#REF!,MATCH(A55&amp;B55,'計測入力シート（ここのみ編集可）'!$BO$17:$BO$116,0)),"")</f>
        <v/>
      </c>
      <c r="F60" s="95"/>
      <c r="G60" s="95"/>
      <c r="H60" s="96"/>
    </row>
    <row r="61" ht="20.25" customHeight="1">
      <c r="D61" s="294" t="s">
        <v>39</v>
      </c>
      <c r="E61" s="295" t="str">
        <f t="array" ref="E61">IFERROR(INDEX('計測入力シート（ここのみ編集可）'!$AW$17:$AW$116,MATCH(A55&amp;B55,'計測入力シート（ここのみ編集可）'!$BO$17:$BO$116,0)),"")</f>
        <v/>
      </c>
      <c r="F61" s="296"/>
      <c r="G61" s="297" t="s">
        <v>110</v>
      </c>
      <c r="H61" s="298" t="str">
        <f t="array" ref="H61">IFERROR(INDEX('計測入力シート（ここのみ編集可）'!$AY$17:$AY$116,MATCH(A55&amp;B55,'計測入力シート（ここのみ編集可）'!$BO$17:$BO$116,0)),"")</f>
        <v/>
      </c>
    </row>
    <row r="62" ht="20.25" customHeight="1">
      <c r="D62" s="299" t="s">
        <v>42</v>
      </c>
      <c r="E62" s="300" t="str">
        <f t="array" ref="E62">IFERROR(INDEX('計測入力シート（ここのみ編集可）'!$AZ$17:$AZ$116,MATCH(A55&amp;B55,'計測入力シート（ここのみ編集可）'!$BO$17:$BO$116,0)),"")</f>
        <v/>
      </c>
      <c r="F62" s="116"/>
      <c r="G62" s="301" t="s">
        <v>111</v>
      </c>
      <c r="H62" s="302" t="str">
        <f t="array" ref="H62">IFERROR(INDEX('計測入力シート（ここのみ編集可）'!$BB$17:$BB$116,MATCH(A55&amp;B55,'計測入力シート（ここのみ編集可）'!$BO$17:$BO$116,0)),"")</f>
        <v/>
      </c>
    </row>
    <row r="63" ht="20.25" customHeight="1">
      <c r="D63" s="303" t="s">
        <v>112</v>
      </c>
      <c r="E63" s="304" t="str">
        <f t="array" ref="E63">IFERROR(INDEX('計測入力シート（ここのみ編集可）'!$BC$17:$BC$116,MATCH(A55&amp;B55,'計測入力シート（ここのみ編集可）'!$BO$17:$BO$116,0)),"")</f>
        <v/>
      </c>
      <c r="F63" s="305"/>
      <c r="G63" s="306" t="s">
        <v>25</v>
      </c>
      <c r="H63" s="307" t="str">
        <f t="array" ref="H63">IFERROR(INDEX('計測入力シート（ここのみ編集可）'!$BD$17:$BD$116,MATCH(A55&amp;B55,'計測入力シート（ここのみ編集可）'!$BO$17:$BO$116,0)),"")</f>
        <v/>
      </c>
    </row>
    <row r="64" ht="20.25" customHeight="1">
      <c r="D64" s="308"/>
    </row>
    <row r="65" ht="27.0" customHeight="1">
      <c r="A65" s="52" t="str">
        <f>A55</f>
        <v>A</v>
      </c>
      <c r="B65" s="52">
        <f>B55+1</f>
        <v>7</v>
      </c>
      <c r="D65" s="271" t="s">
        <v>80</v>
      </c>
      <c r="E65" s="272" t="s">
        <v>81</v>
      </c>
      <c r="F65" s="272" t="s">
        <v>82</v>
      </c>
      <c r="G65" s="273" t="s">
        <v>49</v>
      </c>
      <c r="H65" s="274"/>
    </row>
    <row r="66" ht="27.0" customHeight="1">
      <c r="A66" s="86"/>
      <c r="B66" s="86"/>
      <c r="D66" s="275" t="str">
        <f t="array" ref="D66">IFERROR(INDEX('計測入力シート（ここのみ編集可）'!$BN$17:$BN$116,MATCH(A65&amp;B65,'計測入力シート（ここのみ編集可）'!$BO$17:$BO$116,0)),"")</f>
        <v/>
      </c>
      <c r="E66" s="276" t="str">
        <f t="array" ref="E66">IFERROR(INDEX('計測入力シート（ここのみ編集可）'!$BP$17:$BP$116,MATCH(A65&amp;B65,'計測入力シート（ここのみ編集可）'!$BO$17:$BO$116,0)),"")</f>
        <v/>
      </c>
      <c r="F66" s="277" t="str">
        <f t="array" ref="F66">IFERROR(INDEX('計測入力シート（ここのみ編集可）'!$BR$17:$BR$116,MATCH(A65&amp;B65,'計測入力シート（ここのみ編集可）'!$BO$17:$BO$116,0)),"")</f>
        <v/>
      </c>
      <c r="G66" s="278" t="str">
        <f t="array" ref="G66">IFERROR(INDEX('計測入力シート（ここのみ編集可）'!$BL$17:$BL$116,MATCH(A65&amp;B65,'計測入力シート（ここのみ編集可）'!$BO$17:$BO$116,0)),"")</f>
        <v/>
      </c>
      <c r="H66" s="279"/>
    </row>
    <row r="67" ht="27.0" customHeight="1">
      <c r="D67" s="280" t="s">
        <v>2</v>
      </c>
      <c r="E67" s="281" t="str">
        <f t="array" ref="E67">IFERROR(INDEX('計測入力シート（ここのみ編集可）'!$C$17:$C$116,MATCH(A65&amp;B65,'計測入力シート（ここのみ編集可）'!$BO$17:$BO$116,0)),"")</f>
        <v/>
      </c>
      <c r="F67" s="282" t="s">
        <v>17</v>
      </c>
      <c r="G67" s="283" t="str">
        <f t="array" ref="G67">IFERROR(INDEX('計測入力シート（ここのみ編集可）'!$D$17:$D$116,MATCH(A65&amp;B65,'計測入力シート（ここのみ編集可）'!$BO$17:$BO$116,0)),"")</f>
        <v/>
      </c>
      <c r="H67" s="284"/>
    </row>
    <row r="68" ht="27.0" customHeight="1">
      <c r="D68" s="285" t="s">
        <v>1</v>
      </c>
      <c r="E68" s="286" t="str">
        <f t="array" ref="E68">IFERROR(INDEX('計測入力シート（ここのみ編集可）'!$B$17:$B$116,MATCH(A65&amp;B65,'計測入力シート（ここのみ編集可）'!$BO$17:$BO$116,0)),"")</f>
        <v/>
      </c>
      <c r="F68" s="287" t="s">
        <v>18</v>
      </c>
      <c r="G68" s="288" t="str">
        <f t="array" ref="G68">IFERROR(INDEX('計測入力シート（ここのみ編集可）'!$E$17:$E$116,MATCH(A65&amp;B65,'計測入力シート（ここのみ編集可）'!$BO$17:$BO$116,0)),"")</f>
        <v/>
      </c>
      <c r="H68" s="289"/>
    </row>
    <row r="69" ht="24.75" customHeight="1">
      <c r="D69" s="290" t="s">
        <v>92</v>
      </c>
      <c r="E69" s="291" t="str">
        <f t="array" ref="E69">IFERROR(INDEX(#REF!,MATCH(A65&amp;B65,'計測入力シート（ここのみ編集可）'!$BO$17:$BO$116,0)),"")</f>
        <v/>
      </c>
      <c r="H69" s="232"/>
    </row>
    <row r="70" ht="52.5" customHeight="1">
      <c r="D70" s="292" t="s">
        <v>100</v>
      </c>
      <c r="E70" s="293" t="str">
        <f t="array" ref="E70">IFERROR(INDEX(#REF!,MATCH(A65&amp;B65,'計測入力シート（ここのみ編集可）'!$BO$17:$BO$116,0)),"")</f>
        <v/>
      </c>
      <c r="F70" s="95"/>
      <c r="G70" s="95"/>
      <c r="H70" s="96"/>
    </row>
    <row r="71" ht="20.25" customHeight="1">
      <c r="D71" s="294" t="s">
        <v>39</v>
      </c>
      <c r="E71" s="295" t="str">
        <f t="array" ref="E71">IFERROR(INDEX('計測入力シート（ここのみ編集可）'!$AW$17:$AW$116,MATCH(A65&amp;B65,'計測入力シート（ここのみ編集可）'!$BO$17:$BO$116,0)),"")</f>
        <v/>
      </c>
      <c r="F71" s="296"/>
      <c r="G71" s="297" t="s">
        <v>110</v>
      </c>
      <c r="H71" s="298" t="str">
        <f t="array" ref="H71">IFERROR(INDEX('計測入力シート（ここのみ編集可）'!$AY$17:$AY$116,MATCH(A65&amp;B65,'計測入力シート（ここのみ編集可）'!$BO$17:$BO$116,0)),"")</f>
        <v/>
      </c>
    </row>
    <row r="72" ht="20.25" customHeight="1">
      <c r="D72" s="299" t="s">
        <v>42</v>
      </c>
      <c r="E72" s="300" t="str">
        <f t="array" ref="E72">IFERROR(INDEX('計測入力シート（ここのみ編集可）'!$AZ$17:$AZ$116,MATCH(A65&amp;B65,'計測入力シート（ここのみ編集可）'!$BO$17:$BO$116,0)),"")</f>
        <v/>
      </c>
      <c r="F72" s="116"/>
      <c r="G72" s="301" t="s">
        <v>111</v>
      </c>
      <c r="H72" s="302" t="str">
        <f t="array" ref="H72">IFERROR(INDEX('計測入力シート（ここのみ編集可）'!$BB$17:$BB$116,MATCH(A65&amp;B65,'計測入力シート（ここのみ編集可）'!$BO$17:$BO$116,0)),"")</f>
        <v/>
      </c>
    </row>
    <row r="73" ht="20.25" customHeight="1">
      <c r="D73" s="303" t="s">
        <v>112</v>
      </c>
      <c r="E73" s="304" t="str">
        <f t="array" ref="E73">IFERROR(INDEX('計測入力シート（ここのみ編集可）'!$BC$17:$BC$116,MATCH(A65&amp;B65,'計測入力シート（ここのみ編集可）'!$BO$17:$BO$116,0)),"")</f>
        <v/>
      </c>
      <c r="F73" s="305"/>
      <c r="G73" s="306" t="s">
        <v>25</v>
      </c>
      <c r="H73" s="307" t="str">
        <f t="array" ref="H73">IFERROR(INDEX('計測入力シート（ここのみ編集可）'!$BD$17:$BD$116,MATCH(A65&amp;B65,'計測入力シート（ここのみ編集可）'!$BO$17:$BO$116,0)),"")</f>
        <v/>
      </c>
    </row>
    <row r="74" ht="20.25" customHeight="1">
      <c r="D74" s="308"/>
    </row>
    <row r="75" ht="27.0" customHeight="1">
      <c r="A75" s="52" t="str">
        <f>A65</f>
        <v>A</v>
      </c>
      <c r="B75" s="52">
        <f>B65+1</f>
        <v>8</v>
      </c>
      <c r="D75" s="271" t="s">
        <v>80</v>
      </c>
      <c r="E75" s="272" t="s">
        <v>81</v>
      </c>
      <c r="F75" s="272" t="s">
        <v>82</v>
      </c>
      <c r="G75" s="273" t="s">
        <v>49</v>
      </c>
      <c r="H75" s="274"/>
    </row>
    <row r="76" ht="27.0" customHeight="1">
      <c r="A76" s="86"/>
      <c r="B76" s="86"/>
      <c r="D76" s="275" t="str">
        <f t="array" ref="D76">IFERROR(INDEX('計測入力シート（ここのみ編集可）'!$BN$17:$BN$116,MATCH(A75&amp;B75,'計測入力シート（ここのみ編集可）'!$BO$17:$BO$116,0)),"")</f>
        <v/>
      </c>
      <c r="E76" s="276" t="str">
        <f t="array" ref="E76">IFERROR(INDEX('計測入力シート（ここのみ編集可）'!$BP$17:$BP$116,MATCH(A75&amp;B75,'計測入力シート（ここのみ編集可）'!$BO$17:$BO$116,0)),"")</f>
        <v/>
      </c>
      <c r="F76" s="277" t="str">
        <f t="array" ref="F76">IFERROR(INDEX('計測入力シート（ここのみ編集可）'!$BR$17:$BR$116,MATCH(A75&amp;B75,'計測入力シート（ここのみ編集可）'!$BO$17:$BO$116,0)),"")</f>
        <v/>
      </c>
      <c r="G76" s="278" t="str">
        <f t="array" ref="G76">IFERROR(INDEX('計測入力シート（ここのみ編集可）'!$BL$17:$BL$116,MATCH(A75&amp;B75,'計測入力シート（ここのみ編集可）'!$BO$17:$BO$116,0)),"")</f>
        <v/>
      </c>
      <c r="H76" s="279"/>
    </row>
    <row r="77" ht="27.0" customHeight="1">
      <c r="D77" s="280" t="s">
        <v>2</v>
      </c>
      <c r="E77" s="281" t="str">
        <f t="array" ref="E77">IFERROR(INDEX('計測入力シート（ここのみ編集可）'!$C$17:$C$116,MATCH(A75&amp;B75,'計測入力シート（ここのみ編集可）'!$BO$17:$BO$116,0)),"")</f>
        <v/>
      </c>
      <c r="F77" s="282" t="s">
        <v>17</v>
      </c>
      <c r="G77" s="283" t="str">
        <f t="array" ref="G77">IFERROR(INDEX('計測入力シート（ここのみ編集可）'!$D$17:$D$116,MATCH(A75&amp;B75,'計測入力シート（ここのみ編集可）'!$BO$17:$BO$116,0)),"")</f>
        <v/>
      </c>
      <c r="H77" s="284"/>
    </row>
    <row r="78" ht="27.0" customHeight="1">
      <c r="D78" s="285" t="s">
        <v>1</v>
      </c>
      <c r="E78" s="286" t="str">
        <f t="array" ref="E78">IFERROR(INDEX('計測入力シート（ここのみ編集可）'!$B$17:$B$116,MATCH(A75&amp;B75,'計測入力シート（ここのみ編集可）'!$BO$17:$BO$116,0)),"")</f>
        <v/>
      </c>
      <c r="F78" s="287" t="s">
        <v>18</v>
      </c>
      <c r="G78" s="288" t="str">
        <f t="array" ref="G78">IFERROR(INDEX('計測入力シート（ここのみ編集可）'!$E$17:$E$116,MATCH(A75&amp;B75,'計測入力シート（ここのみ編集可）'!$BO$17:$BO$116,0)),"")</f>
        <v/>
      </c>
      <c r="H78" s="289"/>
    </row>
    <row r="79" ht="24.75" customHeight="1">
      <c r="D79" s="290" t="s">
        <v>92</v>
      </c>
      <c r="E79" s="291" t="str">
        <f t="array" ref="E79">IFERROR(INDEX(#REF!,MATCH(A75&amp;B75,'計測入力シート（ここのみ編集可）'!$BO$17:$BO$116,0)),"")</f>
        <v/>
      </c>
      <c r="H79" s="232"/>
    </row>
    <row r="80" ht="52.5" customHeight="1">
      <c r="D80" s="292" t="s">
        <v>100</v>
      </c>
      <c r="E80" s="293" t="str">
        <f t="array" ref="E80">IFERROR(INDEX(#REF!,MATCH(A75&amp;B75,'計測入力シート（ここのみ編集可）'!$BO$17:$BO$116,0)),"")</f>
        <v/>
      </c>
      <c r="F80" s="95"/>
      <c r="G80" s="95"/>
      <c r="H80" s="96"/>
    </row>
    <row r="81" ht="20.25" customHeight="1">
      <c r="D81" s="294" t="s">
        <v>39</v>
      </c>
      <c r="E81" s="295" t="str">
        <f t="array" ref="E81">IFERROR(INDEX('計測入力シート（ここのみ編集可）'!$AW$17:$AW$116,MATCH(A75&amp;B75,'計測入力シート（ここのみ編集可）'!$BO$17:$BO$116,0)),"")</f>
        <v/>
      </c>
      <c r="F81" s="296"/>
      <c r="G81" s="297" t="s">
        <v>110</v>
      </c>
      <c r="H81" s="298" t="str">
        <f t="array" ref="H81">IFERROR(INDEX('計測入力シート（ここのみ編集可）'!$AY$17:$AY$116,MATCH(A75&amp;B75,'計測入力シート（ここのみ編集可）'!$BO$17:$BO$116,0)),"")</f>
        <v/>
      </c>
    </row>
    <row r="82" ht="20.25" customHeight="1">
      <c r="D82" s="299" t="s">
        <v>42</v>
      </c>
      <c r="E82" s="300" t="str">
        <f t="array" ref="E82">IFERROR(INDEX('計測入力シート（ここのみ編集可）'!$AZ$17:$AZ$116,MATCH(A75&amp;B75,'計測入力シート（ここのみ編集可）'!$BO$17:$BO$116,0)),"")</f>
        <v/>
      </c>
      <c r="F82" s="116"/>
      <c r="G82" s="301" t="s">
        <v>111</v>
      </c>
      <c r="H82" s="302" t="str">
        <f t="array" ref="H82">IFERROR(INDEX('計測入力シート（ここのみ編集可）'!$BB$17:$BB$116,MATCH(A75&amp;B75,'計測入力シート（ここのみ編集可）'!$BO$17:$BO$116,0)),"")</f>
        <v/>
      </c>
    </row>
    <row r="83" ht="20.25" customHeight="1">
      <c r="D83" s="303" t="s">
        <v>112</v>
      </c>
      <c r="E83" s="304" t="str">
        <f t="array" ref="E83">IFERROR(INDEX('計測入力シート（ここのみ編集可）'!$BC$17:$BC$116,MATCH(A75&amp;B75,'計測入力シート（ここのみ編集可）'!$BO$17:$BO$116,0)),"")</f>
        <v/>
      </c>
      <c r="F83" s="305"/>
      <c r="G83" s="306" t="s">
        <v>25</v>
      </c>
      <c r="H83" s="307" t="str">
        <f t="array" ref="H83">IFERROR(INDEX('計測入力シート（ここのみ編集可）'!$BD$17:$BD$116,MATCH(A75&amp;B75,'計測入力シート（ここのみ編集可）'!$BO$17:$BO$116,0)),"")</f>
        <v/>
      </c>
    </row>
    <row r="84" ht="20.25" customHeight="1">
      <c r="D84" s="308"/>
    </row>
    <row r="85" ht="27.0" customHeight="1">
      <c r="A85" s="52" t="str">
        <f>A75</f>
        <v>A</v>
      </c>
      <c r="B85" s="52">
        <f>B75+1</f>
        <v>9</v>
      </c>
      <c r="D85" s="271" t="s">
        <v>80</v>
      </c>
      <c r="E85" s="272" t="s">
        <v>81</v>
      </c>
      <c r="F85" s="272" t="s">
        <v>82</v>
      </c>
      <c r="G85" s="273" t="s">
        <v>49</v>
      </c>
      <c r="H85" s="274"/>
    </row>
    <row r="86" ht="27.0" customHeight="1">
      <c r="A86" s="86"/>
      <c r="B86" s="86"/>
      <c r="D86" s="275" t="str">
        <f t="array" ref="D86">IFERROR(INDEX('計測入力シート（ここのみ編集可）'!$BN$17:$BN$116,MATCH(A85&amp;B85,'計測入力シート（ここのみ編集可）'!$BO$17:$BO$116,0)),"")</f>
        <v/>
      </c>
      <c r="E86" s="276" t="str">
        <f t="array" ref="E86">IFERROR(INDEX('計測入力シート（ここのみ編集可）'!$BP$17:$BP$116,MATCH(A85&amp;B85,'計測入力シート（ここのみ編集可）'!$BO$17:$BO$116,0)),"")</f>
        <v/>
      </c>
      <c r="F86" s="277" t="str">
        <f t="array" ref="F86">IFERROR(INDEX('計測入力シート（ここのみ編集可）'!$BR$17:$BR$116,MATCH(A85&amp;B85,'計測入力シート（ここのみ編集可）'!$BO$17:$BO$116,0)),"")</f>
        <v/>
      </c>
      <c r="G86" s="278" t="str">
        <f t="array" ref="G86">IFERROR(INDEX('計測入力シート（ここのみ編集可）'!$BL$17:$BL$116,MATCH(A85&amp;B85,'計測入力シート（ここのみ編集可）'!$BO$17:$BO$116,0)),"")</f>
        <v/>
      </c>
      <c r="H86" s="279"/>
    </row>
    <row r="87" ht="27.0" customHeight="1">
      <c r="D87" s="280" t="s">
        <v>2</v>
      </c>
      <c r="E87" s="281" t="str">
        <f t="array" ref="E87">IFERROR(INDEX('計測入力シート（ここのみ編集可）'!$C$17:$C$116,MATCH(A85&amp;B85,'計測入力シート（ここのみ編集可）'!$BO$17:$BO$116,0)),"")</f>
        <v/>
      </c>
      <c r="F87" s="282" t="s">
        <v>17</v>
      </c>
      <c r="G87" s="283" t="str">
        <f t="array" ref="G87">IFERROR(INDEX('計測入力シート（ここのみ編集可）'!$D$17:$D$116,MATCH(A85&amp;B85,'計測入力シート（ここのみ編集可）'!$BO$17:$BO$116,0)),"")</f>
        <v/>
      </c>
      <c r="H87" s="284"/>
    </row>
    <row r="88" ht="27.0" customHeight="1">
      <c r="D88" s="285" t="s">
        <v>1</v>
      </c>
      <c r="E88" s="286" t="str">
        <f t="array" ref="E88">IFERROR(INDEX('計測入力シート（ここのみ編集可）'!$B$17:$B$116,MATCH(A85&amp;B85,'計測入力シート（ここのみ編集可）'!$BO$17:$BO$116,0)),"")</f>
        <v/>
      </c>
      <c r="F88" s="287" t="s">
        <v>18</v>
      </c>
      <c r="G88" s="288" t="str">
        <f t="array" ref="G88">IFERROR(INDEX('計測入力シート（ここのみ編集可）'!$E$17:$E$116,MATCH(A85&amp;B85,'計測入力シート（ここのみ編集可）'!$BO$17:$BO$116,0)),"")</f>
        <v/>
      </c>
      <c r="H88" s="289"/>
    </row>
    <row r="89" ht="24.75" customHeight="1">
      <c r="D89" s="290" t="s">
        <v>92</v>
      </c>
      <c r="E89" s="291" t="str">
        <f t="array" ref="E89">IFERROR(INDEX(#REF!,MATCH(A85&amp;B85,'計測入力シート（ここのみ編集可）'!$BO$17:$BO$116,0)),"")</f>
        <v/>
      </c>
      <c r="H89" s="232"/>
    </row>
    <row r="90" ht="52.5" customHeight="1">
      <c r="D90" s="292" t="s">
        <v>100</v>
      </c>
      <c r="E90" s="293" t="str">
        <f t="array" ref="E90">IFERROR(INDEX(#REF!,MATCH(A85&amp;B85,'計測入力シート（ここのみ編集可）'!$BO$17:$BO$116,0)),"")</f>
        <v/>
      </c>
      <c r="F90" s="95"/>
      <c r="G90" s="95"/>
      <c r="H90" s="96"/>
    </row>
    <row r="91" ht="20.25" customHeight="1">
      <c r="D91" s="294" t="s">
        <v>39</v>
      </c>
      <c r="E91" s="295" t="str">
        <f t="array" ref="E91">IFERROR(INDEX('計測入力シート（ここのみ編集可）'!$AW$17:$AW$116,MATCH(A85&amp;B85,'計測入力シート（ここのみ編集可）'!$BO$17:$BO$116,0)),"")</f>
        <v/>
      </c>
      <c r="F91" s="296"/>
      <c r="G91" s="297" t="s">
        <v>110</v>
      </c>
      <c r="H91" s="298" t="str">
        <f t="array" ref="H91">IFERROR(INDEX('計測入力シート（ここのみ編集可）'!$AY$17:$AY$116,MATCH(A85&amp;B85,'計測入力シート（ここのみ編集可）'!$BO$17:$BO$116,0)),"")</f>
        <v/>
      </c>
    </row>
    <row r="92" ht="20.25" customHeight="1">
      <c r="D92" s="299" t="s">
        <v>42</v>
      </c>
      <c r="E92" s="300" t="str">
        <f t="array" ref="E92">IFERROR(INDEX('計測入力シート（ここのみ編集可）'!$AZ$17:$AZ$116,MATCH(A85&amp;B85,'計測入力シート（ここのみ編集可）'!$BO$17:$BO$116,0)),"")</f>
        <v/>
      </c>
      <c r="F92" s="116"/>
      <c r="G92" s="301" t="s">
        <v>111</v>
      </c>
      <c r="H92" s="302" t="str">
        <f t="array" ref="H92">IFERROR(INDEX('計測入力シート（ここのみ編集可）'!$BB$17:$BB$116,MATCH(A85&amp;B85,'計測入力シート（ここのみ編集可）'!$BO$17:$BO$116,0)),"")</f>
        <v/>
      </c>
    </row>
    <row r="93" ht="20.25" customHeight="1">
      <c r="D93" s="303" t="s">
        <v>112</v>
      </c>
      <c r="E93" s="304" t="str">
        <f t="array" ref="E93">IFERROR(INDEX('計測入力シート（ここのみ編集可）'!$BC$17:$BC$116,MATCH(A85&amp;B85,'計測入力シート（ここのみ編集可）'!$BO$17:$BO$116,0)),"")</f>
        <v/>
      </c>
      <c r="F93" s="305"/>
      <c r="G93" s="306" t="s">
        <v>25</v>
      </c>
      <c r="H93" s="307" t="str">
        <f t="array" ref="H93">IFERROR(INDEX('計測入力シート（ここのみ編集可）'!$BD$17:$BD$116,MATCH(A85&amp;B85,'計測入力シート（ここのみ編集可）'!$BO$17:$BO$116,0)),"")</f>
        <v/>
      </c>
    </row>
    <row r="94" ht="20.25" customHeight="1">
      <c r="D94" s="308"/>
    </row>
    <row r="95" ht="27.0" customHeight="1">
      <c r="A95" s="52" t="str">
        <f>A85</f>
        <v>A</v>
      </c>
      <c r="B95" s="52">
        <f>B85+1</f>
        <v>10</v>
      </c>
      <c r="D95" s="271" t="s">
        <v>80</v>
      </c>
      <c r="E95" s="272" t="s">
        <v>81</v>
      </c>
      <c r="F95" s="272" t="s">
        <v>82</v>
      </c>
      <c r="G95" s="273" t="s">
        <v>49</v>
      </c>
      <c r="H95" s="274"/>
    </row>
    <row r="96" ht="27.0" customHeight="1">
      <c r="A96" s="86"/>
      <c r="B96" s="86"/>
      <c r="D96" s="275" t="str">
        <f t="array" ref="D96">IFERROR(INDEX('計測入力シート（ここのみ編集可）'!$BN$17:$BN$116,MATCH(A95&amp;B95,'計測入力シート（ここのみ編集可）'!$BO$17:$BO$116,0)),"")</f>
        <v/>
      </c>
      <c r="E96" s="276" t="str">
        <f t="array" ref="E96">IFERROR(INDEX('計測入力シート（ここのみ編集可）'!$BP$17:$BP$116,MATCH(A95&amp;B95,'計測入力シート（ここのみ編集可）'!$BO$17:$BO$116,0)),"")</f>
        <v/>
      </c>
      <c r="F96" s="277" t="str">
        <f t="array" ref="F96">IFERROR(INDEX('計測入力シート（ここのみ編集可）'!$BR$17:$BR$116,MATCH(A95&amp;B95,'計測入力シート（ここのみ編集可）'!$BO$17:$BO$116,0)),"")</f>
        <v/>
      </c>
      <c r="G96" s="278" t="str">
        <f t="array" ref="G96">IFERROR(INDEX('計測入力シート（ここのみ編集可）'!$BL$17:$BL$116,MATCH(A95&amp;B95,'計測入力シート（ここのみ編集可）'!$BO$17:$BO$116,0)),"")</f>
        <v/>
      </c>
      <c r="H96" s="279"/>
    </row>
    <row r="97" ht="27.0" customHeight="1">
      <c r="D97" s="280" t="s">
        <v>2</v>
      </c>
      <c r="E97" s="281" t="str">
        <f t="array" ref="E97">IFERROR(INDEX('計測入力シート（ここのみ編集可）'!$C$17:$C$116,MATCH(A95&amp;B95,'計測入力シート（ここのみ編集可）'!$BO$17:$BO$116,0)),"")</f>
        <v/>
      </c>
      <c r="F97" s="282" t="s">
        <v>17</v>
      </c>
      <c r="G97" s="283" t="str">
        <f t="array" ref="G97">IFERROR(INDEX('計測入力シート（ここのみ編集可）'!$D$17:$D$116,MATCH(A95&amp;B95,'計測入力シート（ここのみ編集可）'!$BO$17:$BO$116,0)),"")</f>
        <v/>
      </c>
      <c r="H97" s="284"/>
    </row>
    <row r="98" ht="27.0" customHeight="1">
      <c r="D98" s="285" t="s">
        <v>1</v>
      </c>
      <c r="E98" s="286" t="str">
        <f t="array" ref="E98">IFERROR(INDEX('計測入力シート（ここのみ編集可）'!$B$17:$B$116,MATCH(A95&amp;B95,'計測入力シート（ここのみ編集可）'!$BO$17:$BO$116,0)),"")</f>
        <v/>
      </c>
      <c r="F98" s="287" t="s">
        <v>18</v>
      </c>
      <c r="G98" s="288" t="str">
        <f t="array" ref="G98">IFERROR(INDEX('計測入力シート（ここのみ編集可）'!$E$17:$E$116,MATCH(A95&amp;B95,'計測入力シート（ここのみ編集可）'!$BO$17:$BO$116,0)),"")</f>
        <v/>
      </c>
      <c r="H98" s="289"/>
    </row>
    <row r="99" ht="24.75" customHeight="1">
      <c r="D99" s="290" t="s">
        <v>92</v>
      </c>
      <c r="E99" s="291" t="str">
        <f t="array" ref="E99">IFERROR(INDEX(#REF!,MATCH(A95&amp;B95,'計測入力シート（ここのみ編集可）'!$BO$17:$BO$116,0)),"")</f>
        <v/>
      </c>
      <c r="H99" s="232"/>
    </row>
    <row r="100" ht="52.5" customHeight="1">
      <c r="D100" s="292" t="s">
        <v>100</v>
      </c>
      <c r="E100" s="293" t="str">
        <f t="array" ref="E100">IFERROR(INDEX(#REF!,MATCH(A95&amp;B95,'計測入力シート（ここのみ編集可）'!$BO$17:$BO$116,0)),"")</f>
        <v/>
      </c>
      <c r="F100" s="95"/>
      <c r="G100" s="95"/>
      <c r="H100" s="96"/>
    </row>
    <row r="101" ht="20.25" customHeight="1">
      <c r="D101" s="294" t="s">
        <v>39</v>
      </c>
      <c r="E101" s="295" t="str">
        <f t="array" ref="E101">IFERROR(INDEX('計測入力シート（ここのみ編集可）'!$AW$17:$AW$116,MATCH(A95&amp;B95,'計測入力シート（ここのみ編集可）'!$BO$17:$BO$116,0)),"")</f>
        <v/>
      </c>
      <c r="F101" s="296"/>
      <c r="G101" s="297" t="s">
        <v>110</v>
      </c>
      <c r="H101" s="298" t="str">
        <f t="array" ref="H101">IFERROR(INDEX('計測入力シート（ここのみ編集可）'!$AY$17:$AY$116,MATCH(A95&amp;B95,'計測入力シート（ここのみ編集可）'!$BO$17:$BO$116,0)),"")</f>
        <v/>
      </c>
    </row>
    <row r="102" ht="20.25" customHeight="1">
      <c r="D102" s="299" t="s">
        <v>42</v>
      </c>
      <c r="E102" s="300" t="str">
        <f t="array" ref="E102">IFERROR(INDEX('計測入力シート（ここのみ編集可）'!$AZ$17:$AZ$116,MATCH(A95&amp;B95,'計測入力シート（ここのみ編集可）'!$BO$17:$BO$116,0)),"")</f>
        <v/>
      </c>
      <c r="F102" s="116"/>
      <c r="G102" s="301" t="s">
        <v>111</v>
      </c>
      <c r="H102" s="302" t="str">
        <f t="array" ref="H102">IFERROR(INDEX('計測入力シート（ここのみ編集可）'!$BB$17:$BB$116,MATCH(A95&amp;B95,'計測入力シート（ここのみ編集可）'!$BO$17:$BO$116,0)),"")</f>
        <v/>
      </c>
    </row>
    <row r="103" ht="20.25" customHeight="1">
      <c r="D103" s="303" t="s">
        <v>112</v>
      </c>
      <c r="E103" s="304" t="str">
        <f t="array" ref="E103">IFERROR(INDEX('計測入力シート（ここのみ編集可）'!$BC$17:$BC$116,MATCH(A95&amp;B95,'計測入力シート（ここのみ編集可）'!$BO$17:$BO$116,0)),"")</f>
        <v/>
      </c>
      <c r="F103" s="305"/>
      <c r="G103" s="306" t="s">
        <v>25</v>
      </c>
      <c r="H103" s="307" t="str">
        <f t="array" ref="H103">IFERROR(INDEX('計測入力シート（ここのみ編集可）'!$BD$17:$BD$116,MATCH(A95&amp;B95,'計測入力シート（ここのみ編集可）'!$BO$17:$BO$116,0)),"")</f>
        <v/>
      </c>
    </row>
    <row r="104" ht="20.25" customHeight="1">
      <c r="D104" s="308"/>
    </row>
    <row r="105" ht="27.0" customHeight="1">
      <c r="A105" s="52" t="str">
        <f>A95</f>
        <v>A</v>
      </c>
      <c r="B105" s="52">
        <f>B95+1</f>
        <v>11</v>
      </c>
      <c r="D105" s="271" t="s">
        <v>80</v>
      </c>
      <c r="E105" s="272" t="s">
        <v>81</v>
      </c>
      <c r="F105" s="272" t="s">
        <v>82</v>
      </c>
      <c r="G105" s="273" t="s">
        <v>49</v>
      </c>
      <c r="H105" s="274"/>
    </row>
    <row r="106" ht="27.0" customHeight="1">
      <c r="A106" s="86"/>
      <c r="B106" s="86"/>
      <c r="D106" s="275" t="str">
        <f t="array" ref="D106">IFERROR(INDEX('計測入力シート（ここのみ編集可）'!$BN$17:$BN$116,MATCH(A105&amp;B105,'計測入力シート（ここのみ編集可）'!$BO$17:$BO$116,0)),"")</f>
        <v/>
      </c>
      <c r="E106" s="276" t="str">
        <f t="array" ref="E106">IFERROR(INDEX('計測入力シート（ここのみ編集可）'!$BP$17:$BP$116,MATCH(A105&amp;B105,'計測入力シート（ここのみ編集可）'!$BO$17:$BO$116,0)),"")</f>
        <v/>
      </c>
      <c r="F106" s="277" t="str">
        <f t="array" ref="F106">IFERROR(INDEX('計測入力シート（ここのみ編集可）'!$BR$17:$BR$116,MATCH(A105&amp;B105,'計測入力シート（ここのみ編集可）'!$BO$17:$BO$116,0)),"")</f>
        <v/>
      </c>
      <c r="G106" s="278" t="str">
        <f t="array" ref="G106">IFERROR(INDEX('計測入力シート（ここのみ編集可）'!$BL$17:$BL$116,MATCH(A105&amp;B105,'計測入力シート（ここのみ編集可）'!$BO$17:$BO$116,0)),"")</f>
        <v/>
      </c>
      <c r="H106" s="279"/>
    </row>
    <row r="107" ht="27.0" customHeight="1">
      <c r="D107" s="280" t="s">
        <v>2</v>
      </c>
      <c r="E107" s="281" t="str">
        <f t="array" ref="E107">IFERROR(INDEX('計測入力シート（ここのみ編集可）'!$C$17:$C$116,MATCH(A105&amp;B105,'計測入力シート（ここのみ編集可）'!$BO$17:$BO$116,0)),"")</f>
        <v/>
      </c>
      <c r="F107" s="282" t="s">
        <v>17</v>
      </c>
      <c r="G107" s="283" t="str">
        <f t="array" ref="G107">IFERROR(INDEX('計測入力シート（ここのみ編集可）'!$D$17:$D$116,MATCH(A105&amp;B105,'計測入力シート（ここのみ編集可）'!$BO$17:$BO$116,0)),"")</f>
        <v/>
      </c>
      <c r="H107" s="284"/>
    </row>
    <row r="108" ht="27.0" customHeight="1">
      <c r="D108" s="285" t="s">
        <v>1</v>
      </c>
      <c r="E108" s="286" t="str">
        <f t="array" ref="E108">IFERROR(INDEX('計測入力シート（ここのみ編集可）'!$B$17:$B$116,MATCH(A105&amp;B105,'計測入力シート（ここのみ編集可）'!$BO$17:$BO$116,0)),"")</f>
        <v/>
      </c>
      <c r="F108" s="287" t="s">
        <v>18</v>
      </c>
      <c r="G108" s="288" t="str">
        <f t="array" ref="G108">IFERROR(INDEX('計測入力シート（ここのみ編集可）'!$E$17:$E$116,MATCH(A105&amp;B105,'計測入力シート（ここのみ編集可）'!$BO$17:$BO$116,0)),"")</f>
        <v/>
      </c>
      <c r="H108" s="289"/>
    </row>
    <row r="109" ht="24.75" customHeight="1">
      <c r="D109" s="290" t="s">
        <v>92</v>
      </c>
      <c r="E109" s="291" t="str">
        <f t="array" ref="E109">IFERROR(INDEX(#REF!,MATCH(A105&amp;B105,'計測入力シート（ここのみ編集可）'!$BO$17:$BO$116,0)),"")</f>
        <v/>
      </c>
      <c r="H109" s="232"/>
    </row>
    <row r="110" ht="52.5" customHeight="1">
      <c r="D110" s="292" t="s">
        <v>100</v>
      </c>
      <c r="E110" s="293" t="str">
        <f t="array" ref="E110">IFERROR(INDEX(#REF!,MATCH(A105&amp;B105,'計測入力シート（ここのみ編集可）'!$BO$17:$BO$116,0)),"")</f>
        <v/>
      </c>
      <c r="F110" s="95"/>
      <c r="G110" s="95"/>
      <c r="H110" s="96"/>
    </row>
    <row r="111" ht="20.25" customHeight="1">
      <c r="D111" s="294" t="s">
        <v>39</v>
      </c>
      <c r="E111" s="295" t="str">
        <f t="array" ref="E111">IFERROR(INDEX('計測入力シート（ここのみ編集可）'!$AW$17:$AW$116,MATCH(A105&amp;B105,'計測入力シート（ここのみ編集可）'!$BO$17:$BO$116,0)),"")</f>
        <v/>
      </c>
      <c r="F111" s="296"/>
      <c r="G111" s="297" t="s">
        <v>110</v>
      </c>
      <c r="H111" s="298" t="str">
        <f t="array" ref="H111">IFERROR(INDEX('計測入力シート（ここのみ編集可）'!$AY$17:$AY$116,MATCH(A105&amp;B105,'計測入力シート（ここのみ編集可）'!$BO$17:$BO$116,0)),"")</f>
        <v/>
      </c>
    </row>
    <row r="112" ht="20.25" customHeight="1">
      <c r="D112" s="299" t="s">
        <v>42</v>
      </c>
      <c r="E112" s="300" t="str">
        <f t="array" ref="E112">IFERROR(INDEX('計測入力シート（ここのみ編集可）'!$AZ$17:$AZ$116,MATCH(A105&amp;B105,'計測入力シート（ここのみ編集可）'!$BO$17:$BO$116,0)),"")</f>
        <v/>
      </c>
      <c r="F112" s="116"/>
      <c r="G112" s="301" t="s">
        <v>111</v>
      </c>
      <c r="H112" s="302" t="str">
        <f t="array" ref="H112">IFERROR(INDEX('計測入力シート（ここのみ編集可）'!$BB$17:$BB$116,MATCH(A105&amp;B105,'計測入力シート（ここのみ編集可）'!$BO$17:$BO$116,0)),"")</f>
        <v/>
      </c>
    </row>
    <row r="113" ht="20.25" customHeight="1">
      <c r="D113" s="303" t="s">
        <v>112</v>
      </c>
      <c r="E113" s="304" t="str">
        <f t="array" ref="E113">IFERROR(INDEX('計測入力シート（ここのみ編集可）'!$BC$17:$BC$116,MATCH(A105&amp;B105,'計測入力シート（ここのみ編集可）'!$BO$17:$BO$116,0)),"")</f>
        <v/>
      </c>
      <c r="F113" s="305"/>
      <c r="G113" s="306" t="s">
        <v>25</v>
      </c>
      <c r="H113" s="307" t="str">
        <f t="array" ref="H113">IFERROR(INDEX('計測入力シート（ここのみ編集可）'!$BD$17:$BD$116,MATCH(A105&amp;B105,'計測入力シート（ここのみ編集可）'!$BO$17:$BO$116,0)),"")</f>
        <v/>
      </c>
    </row>
    <row r="114" ht="20.25" customHeight="1">
      <c r="D114" s="308"/>
    </row>
    <row r="115" ht="27.0" customHeight="1">
      <c r="A115" s="52" t="str">
        <f>A105</f>
        <v>A</v>
      </c>
      <c r="B115" s="52">
        <f>B105+1</f>
        <v>12</v>
      </c>
      <c r="D115" s="271" t="s">
        <v>80</v>
      </c>
      <c r="E115" s="272" t="s">
        <v>81</v>
      </c>
      <c r="F115" s="272" t="s">
        <v>82</v>
      </c>
      <c r="G115" s="273" t="s">
        <v>49</v>
      </c>
      <c r="H115" s="274"/>
    </row>
    <row r="116" ht="27.0" customHeight="1">
      <c r="A116" s="86"/>
      <c r="B116" s="86"/>
      <c r="D116" s="275" t="str">
        <f t="array" ref="D116">IFERROR(INDEX('計測入力シート（ここのみ編集可）'!$BN$17:$BN$116,MATCH(A115&amp;B115,'計測入力シート（ここのみ編集可）'!$BO$17:$BO$116,0)),"")</f>
        <v/>
      </c>
      <c r="E116" s="276" t="str">
        <f t="array" ref="E116">IFERROR(INDEX('計測入力シート（ここのみ編集可）'!$BP$17:$BP$116,MATCH(A115&amp;B115,'計測入力シート（ここのみ編集可）'!$BO$17:$BO$116,0)),"")</f>
        <v/>
      </c>
      <c r="F116" s="277" t="str">
        <f t="array" ref="F116">IFERROR(INDEX('計測入力シート（ここのみ編集可）'!$BR$17:$BR$116,MATCH(A115&amp;B115,'計測入力シート（ここのみ編集可）'!$BO$17:$BO$116,0)),"")</f>
        <v/>
      </c>
      <c r="G116" s="278" t="str">
        <f t="array" ref="G116">IFERROR(INDEX('計測入力シート（ここのみ編集可）'!$BL$17:$BL$116,MATCH(A115&amp;B115,'計測入力シート（ここのみ編集可）'!$BO$17:$BO$116,0)),"")</f>
        <v/>
      </c>
      <c r="H116" s="279"/>
    </row>
    <row r="117" ht="27.0" customHeight="1">
      <c r="D117" s="280" t="s">
        <v>2</v>
      </c>
      <c r="E117" s="281" t="str">
        <f t="array" ref="E117">IFERROR(INDEX('計測入力シート（ここのみ編集可）'!$C$17:$C$116,MATCH(A115&amp;B115,'計測入力シート（ここのみ編集可）'!$BO$17:$BO$116,0)),"")</f>
        <v/>
      </c>
      <c r="F117" s="282" t="s">
        <v>17</v>
      </c>
      <c r="G117" s="283" t="str">
        <f t="array" ref="G117">IFERROR(INDEX('計測入力シート（ここのみ編集可）'!$D$17:$D$116,MATCH(A115&amp;B115,'計測入力シート（ここのみ編集可）'!$BO$17:$BO$116,0)),"")</f>
        <v/>
      </c>
      <c r="H117" s="284"/>
    </row>
    <row r="118" ht="27.0" customHeight="1">
      <c r="D118" s="285" t="s">
        <v>1</v>
      </c>
      <c r="E118" s="286" t="str">
        <f t="array" ref="E118">IFERROR(INDEX('計測入力シート（ここのみ編集可）'!$B$17:$B$116,MATCH(A115&amp;B115,'計測入力シート（ここのみ編集可）'!$BO$17:$BO$116,0)),"")</f>
        <v/>
      </c>
      <c r="F118" s="287" t="s">
        <v>18</v>
      </c>
      <c r="G118" s="288" t="str">
        <f t="array" ref="G118">IFERROR(INDEX('計測入力シート（ここのみ編集可）'!$E$17:$E$116,MATCH(A115&amp;B115,'計測入力シート（ここのみ編集可）'!$BO$17:$BO$116,0)),"")</f>
        <v/>
      </c>
      <c r="H118" s="289"/>
    </row>
    <row r="119" ht="24.75" customHeight="1">
      <c r="D119" s="290" t="s">
        <v>92</v>
      </c>
      <c r="E119" s="291" t="str">
        <f t="array" ref="E119">IFERROR(INDEX(#REF!,MATCH(A115&amp;B115,'計測入力シート（ここのみ編集可）'!$BO$17:$BO$116,0)),"")</f>
        <v/>
      </c>
      <c r="H119" s="232"/>
    </row>
    <row r="120" ht="52.5" customHeight="1">
      <c r="D120" s="292" t="s">
        <v>100</v>
      </c>
      <c r="E120" s="293" t="str">
        <f t="array" ref="E120">IFERROR(INDEX(#REF!,MATCH(A115&amp;B115,'計測入力シート（ここのみ編集可）'!$BO$17:$BO$116,0)),"")</f>
        <v/>
      </c>
      <c r="F120" s="95"/>
      <c r="G120" s="95"/>
      <c r="H120" s="96"/>
    </row>
    <row r="121" ht="20.25" customHeight="1">
      <c r="D121" s="294" t="s">
        <v>39</v>
      </c>
      <c r="E121" s="295" t="str">
        <f t="array" ref="E121">IFERROR(INDEX('計測入力シート（ここのみ編集可）'!$AW$17:$AW$116,MATCH(A115&amp;B115,'計測入力シート（ここのみ編集可）'!$BO$17:$BO$116,0)),"")</f>
        <v/>
      </c>
      <c r="F121" s="296"/>
      <c r="G121" s="297" t="s">
        <v>110</v>
      </c>
      <c r="H121" s="298" t="str">
        <f t="array" ref="H121">IFERROR(INDEX('計測入力シート（ここのみ編集可）'!$AY$17:$AY$116,MATCH(A115&amp;B115,'計測入力シート（ここのみ編集可）'!$BO$17:$BO$116,0)),"")</f>
        <v/>
      </c>
    </row>
    <row r="122" ht="20.25" customHeight="1">
      <c r="D122" s="299" t="s">
        <v>42</v>
      </c>
      <c r="E122" s="300" t="str">
        <f t="array" ref="E122">IFERROR(INDEX('計測入力シート（ここのみ編集可）'!$AZ$17:$AZ$116,MATCH(A115&amp;B115,'計測入力シート（ここのみ編集可）'!$BO$17:$BO$116,0)),"")</f>
        <v/>
      </c>
      <c r="F122" s="116"/>
      <c r="G122" s="301" t="s">
        <v>111</v>
      </c>
      <c r="H122" s="302" t="str">
        <f t="array" ref="H122">IFERROR(INDEX('計測入力シート（ここのみ編集可）'!$BB$17:$BB$116,MATCH(A115&amp;B115,'計測入力シート（ここのみ編集可）'!$BO$17:$BO$116,0)),"")</f>
        <v/>
      </c>
    </row>
    <row r="123" ht="20.25" customHeight="1">
      <c r="D123" s="303" t="s">
        <v>112</v>
      </c>
      <c r="E123" s="304" t="str">
        <f t="array" ref="E123">IFERROR(INDEX('計測入力シート（ここのみ編集可）'!$BC$17:$BC$116,MATCH(A115&amp;B115,'計測入力シート（ここのみ編集可）'!$BO$17:$BO$116,0)),"")</f>
        <v/>
      </c>
      <c r="F123" s="305"/>
      <c r="G123" s="306" t="s">
        <v>25</v>
      </c>
      <c r="H123" s="307" t="str">
        <f t="array" ref="H123">IFERROR(INDEX('計測入力シート（ここのみ編集可）'!$BD$17:$BD$116,MATCH(A115&amp;B115,'計測入力シート（ここのみ編集可）'!$BO$17:$BO$116,0)),"")</f>
        <v/>
      </c>
    </row>
    <row r="124" ht="20.25" customHeight="1">
      <c r="D124" s="308"/>
    </row>
    <row r="125" ht="27.0" customHeight="1">
      <c r="A125" s="52" t="str">
        <f>A115</f>
        <v>A</v>
      </c>
      <c r="B125" s="52">
        <f>B115+1</f>
        <v>13</v>
      </c>
      <c r="D125" s="271" t="s">
        <v>80</v>
      </c>
      <c r="E125" s="272" t="s">
        <v>81</v>
      </c>
      <c r="F125" s="272" t="s">
        <v>82</v>
      </c>
      <c r="G125" s="273" t="s">
        <v>49</v>
      </c>
      <c r="H125" s="274"/>
    </row>
    <row r="126" ht="27.0" customHeight="1">
      <c r="A126" s="86"/>
      <c r="B126" s="86"/>
      <c r="D126" s="275" t="str">
        <f t="array" ref="D126">IFERROR(INDEX('計測入力シート（ここのみ編集可）'!$BN$17:$BN$116,MATCH(A125&amp;B125,'計測入力シート（ここのみ編集可）'!$BO$17:$BO$116,0)),"")</f>
        <v/>
      </c>
      <c r="E126" s="276" t="str">
        <f t="array" ref="E126">IFERROR(INDEX('計測入力シート（ここのみ編集可）'!$BP$17:$BP$116,MATCH(A125&amp;B125,'計測入力シート（ここのみ編集可）'!$BO$17:$BO$116,0)),"")</f>
        <v/>
      </c>
      <c r="F126" s="277" t="str">
        <f t="array" ref="F126">IFERROR(INDEX('計測入力シート（ここのみ編集可）'!$BR$17:$BR$116,MATCH(A125&amp;B125,'計測入力シート（ここのみ編集可）'!$BO$17:$BO$116,0)),"")</f>
        <v/>
      </c>
      <c r="G126" s="278" t="str">
        <f t="array" ref="G126">IFERROR(INDEX('計測入力シート（ここのみ編集可）'!$BL$17:$BL$116,MATCH(A125&amp;B125,'計測入力シート（ここのみ編集可）'!$BO$17:$BO$116,0)),"")</f>
        <v/>
      </c>
      <c r="H126" s="279"/>
    </row>
    <row r="127" ht="27.0" customHeight="1">
      <c r="D127" s="280" t="s">
        <v>2</v>
      </c>
      <c r="E127" s="281" t="str">
        <f t="array" ref="E127">IFERROR(INDEX('計測入力シート（ここのみ編集可）'!$C$17:$C$116,MATCH(A125&amp;B125,'計測入力シート（ここのみ編集可）'!$BO$17:$BO$116,0)),"")</f>
        <v/>
      </c>
      <c r="F127" s="282" t="s">
        <v>17</v>
      </c>
      <c r="G127" s="283" t="str">
        <f t="array" ref="G127">IFERROR(INDEX('計測入力シート（ここのみ編集可）'!$D$17:$D$116,MATCH(A125&amp;B125,'計測入力シート（ここのみ編集可）'!$BO$17:$BO$116,0)),"")</f>
        <v/>
      </c>
      <c r="H127" s="284"/>
    </row>
    <row r="128" ht="27.0" customHeight="1">
      <c r="D128" s="285" t="s">
        <v>1</v>
      </c>
      <c r="E128" s="286" t="str">
        <f t="array" ref="E128">IFERROR(INDEX('計測入力シート（ここのみ編集可）'!$B$17:$B$116,MATCH(A125&amp;B125,'計測入力シート（ここのみ編集可）'!$BO$17:$BO$116,0)),"")</f>
        <v/>
      </c>
      <c r="F128" s="287" t="s">
        <v>18</v>
      </c>
      <c r="G128" s="288" t="str">
        <f t="array" ref="G128">IFERROR(INDEX('計測入力シート（ここのみ編集可）'!$E$17:$E$116,MATCH(A125&amp;B125,'計測入力シート（ここのみ編集可）'!$BO$17:$BO$116,0)),"")</f>
        <v/>
      </c>
      <c r="H128" s="289"/>
    </row>
    <row r="129" ht="24.75" customHeight="1">
      <c r="D129" s="290" t="s">
        <v>92</v>
      </c>
      <c r="E129" s="291" t="str">
        <f t="array" ref="E129">IFERROR(INDEX(#REF!,MATCH(A125&amp;B125,'計測入力シート（ここのみ編集可）'!$BO$17:$BO$116,0)),"")</f>
        <v/>
      </c>
      <c r="H129" s="232"/>
    </row>
    <row r="130" ht="52.5" customHeight="1">
      <c r="D130" s="292" t="s">
        <v>100</v>
      </c>
      <c r="E130" s="293" t="str">
        <f t="array" ref="E130">IFERROR(INDEX(#REF!,MATCH(A125&amp;B125,'計測入力シート（ここのみ編集可）'!$BO$17:$BO$116,0)),"")</f>
        <v/>
      </c>
      <c r="F130" s="95"/>
      <c r="G130" s="95"/>
      <c r="H130" s="96"/>
    </row>
    <row r="131" ht="20.25" customHeight="1">
      <c r="D131" s="294" t="s">
        <v>39</v>
      </c>
      <c r="E131" s="295" t="str">
        <f t="array" ref="E131">IFERROR(INDEX('計測入力シート（ここのみ編集可）'!$AW$17:$AW$116,MATCH(A125&amp;B125,'計測入力シート（ここのみ編集可）'!$BO$17:$BO$116,0)),"")</f>
        <v/>
      </c>
      <c r="F131" s="296"/>
      <c r="G131" s="297" t="s">
        <v>110</v>
      </c>
      <c r="H131" s="298" t="str">
        <f t="array" ref="H131">IFERROR(INDEX('計測入力シート（ここのみ編集可）'!$AY$17:$AY$116,MATCH(A125&amp;B125,'計測入力シート（ここのみ編集可）'!$BO$17:$BO$116,0)),"")</f>
        <v/>
      </c>
    </row>
    <row r="132" ht="20.25" customHeight="1">
      <c r="D132" s="299" t="s">
        <v>42</v>
      </c>
      <c r="E132" s="300" t="str">
        <f t="array" ref="E132">IFERROR(INDEX('計測入力シート（ここのみ編集可）'!$AZ$17:$AZ$116,MATCH(A125&amp;B125,'計測入力シート（ここのみ編集可）'!$BO$17:$BO$116,0)),"")</f>
        <v/>
      </c>
      <c r="F132" s="116"/>
      <c r="G132" s="301" t="s">
        <v>111</v>
      </c>
      <c r="H132" s="302" t="str">
        <f t="array" ref="H132">IFERROR(INDEX('計測入力シート（ここのみ編集可）'!$BB$17:$BB$116,MATCH(A125&amp;B125,'計測入力シート（ここのみ編集可）'!$BO$17:$BO$116,0)),"")</f>
        <v/>
      </c>
    </row>
    <row r="133" ht="20.25" customHeight="1">
      <c r="D133" s="303" t="s">
        <v>112</v>
      </c>
      <c r="E133" s="304" t="str">
        <f t="array" ref="E133">IFERROR(INDEX('計測入力シート（ここのみ編集可）'!$BC$17:$BC$116,MATCH(A125&amp;B125,'計測入力シート（ここのみ編集可）'!$BO$17:$BO$116,0)),"")</f>
        <v/>
      </c>
      <c r="F133" s="305"/>
      <c r="G133" s="306" t="s">
        <v>25</v>
      </c>
      <c r="H133" s="307" t="str">
        <f t="array" ref="H133">IFERROR(INDEX('計測入力シート（ここのみ編集可）'!$BD$17:$BD$116,MATCH(A125&amp;B125,'計測入力シート（ここのみ編集可）'!$BO$17:$BO$116,0)),"")</f>
        <v/>
      </c>
    </row>
    <row r="134" ht="20.25" customHeight="1">
      <c r="D134" s="308"/>
    </row>
    <row r="135" ht="27.0" customHeight="1">
      <c r="A135" s="52" t="str">
        <f>A125</f>
        <v>A</v>
      </c>
      <c r="B135" s="52">
        <f>B125+1</f>
        <v>14</v>
      </c>
      <c r="D135" s="271" t="s">
        <v>80</v>
      </c>
      <c r="E135" s="272" t="s">
        <v>81</v>
      </c>
      <c r="F135" s="272" t="s">
        <v>82</v>
      </c>
      <c r="G135" s="273" t="s">
        <v>49</v>
      </c>
      <c r="H135" s="274"/>
    </row>
    <row r="136" ht="27.0" customHeight="1">
      <c r="A136" s="86"/>
      <c r="B136" s="86"/>
      <c r="D136" s="275" t="str">
        <f t="array" ref="D136">IFERROR(INDEX('計測入力シート（ここのみ編集可）'!$BN$17:$BN$116,MATCH(A135&amp;B135,'計測入力シート（ここのみ編集可）'!$BO$17:$BO$116,0)),"")</f>
        <v/>
      </c>
      <c r="E136" s="276" t="str">
        <f t="array" ref="E136">IFERROR(INDEX('計測入力シート（ここのみ編集可）'!$BP$17:$BP$116,MATCH(A135&amp;B135,'計測入力シート（ここのみ編集可）'!$BO$17:$BO$116,0)),"")</f>
        <v/>
      </c>
      <c r="F136" s="277" t="str">
        <f t="array" ref="F136">IFERROR(INDEX('計測入力シート（ここのみ編集可）'!$BR$17:$BR$116,MATCH(A135&amp;B135,'計測入力シート（ここのみ編集可）'!$BO$17:$BO$116,0)),"")</f>
        <v/>
      </c>
      <c r="G136" s="278" t="str">
        <f t="array" ref="G136">IFERROR(INDEX('計測入力シート（ここのみ編集可）'!$BL$17:$BL$116,MATCH(A135&amp;B135,'計測入力シート（ここのみ編集可）'!$BO$17:$BO$116,0)),"")</f>
        <v/>
      </c>
      <c r="H136" s="279"/>
    </row>
    <row r="137" ht="27.0" customHeight="1">
      <c r="D137" s="280" t="s">
        <v>2</v>
      </c>
      <c r="E137" s="281" t="str">
        <f t="array" ref="E137">IFERROR(INDEX('計測入力シート（ここのみ編集可）'!$C$17:$C$116,MATCH(A135&amp;B135,'計測入力シート（ここのみ編集可）'!$BO$17:$BO$116,0)),"")</f>
        <v/>
      </c>
      <c r="F137" s="282" t="s">
        <v>17</v>
      </c>
      <c r="G137" s="283" t="str">
        <f t="array" ref="G137">IFERROR(INDEX('計測入力シート（ここのみ編集可）'!$D$17:$D$116,MATCH(A135&amp;B135,'計測入力シート（ここのみ編集可）'!$BO$17:$BO$116,0)),"")</f>
        <v/>
      </c>
      <c r="H137" s="284"/>
    </row>
    <row r="138" ht="27.0" customHeight="1">
      <c r="D138" s="285" t="s">
        <v>1</v>
      </c>
      <c r="E138" s="286" t="str">
        <f t="array" ref="E138">IFERROR(INDEX('計測入力シート（ここのみ編集可）'!$B$17:$B$116,MATCH(A135&amp;B135,'計測入力シート（ここのみ編集可）'!$BO$17:$BO$116,0)),"")</f>
        <v/>
      </c>
      <c r="F138" s="287" t="s">
        <v>18</v>
      </c>
      <c r="G138" s="288" t="str">
        <f t="array" ref="G138">IFERROR(INDEX('計測入力シート（ここのみ編集可）'!$E$17:$E$116,MATCH(A135&amp;B135,'計測入力シート（ここのみ編集可）'!$BO$17:$BO$116,0)),"")</f>
        <v/>
      </c>
      <c r="H138" s="289"/>
    </row>
    <row r="139" ht="24.75" customHeight="1">
      <c r="D139" s="290" t="s">
        <v>92</v>
      </c>
      <c r="E139" s="291" t="str">
        <f t="array" ref="E139">IFERROR(INDEX(#REF!,MATCH(A135&amp;B135,'計測入力シート（ここのみ編集可）'!$BO$17:$BO$116,0)),"")</f>
        <v/>
      </c>
      <c r="H139" s="232"/>
    </row>
    <row r="140" ht="52.5" customHeight="1">
      <c r="D140" s="292" t="s">
        <v>100</v>
      </c>
      <c r="E140" s="293" t="str">
        <f t="array" ref="E140">IFERROR(INDEX(#REF!,MATCH(A135&amp;B135,'計測入力シート（ここのみ編集可）'!$BO$17:$BO$116,0)),"")</f>
        <v/>
      </c>
      <c r="F140" s="95"/>
      <c r="G140" s="95"/>
      <c r="H140" s="96"/>
    </row>
    <row r="141" ht="20.25" customHeight="1">
      <c r="D141" s="294" t="s">
        <v>39</v>
      </c>
      <c r="E141" s="295" t="str">
        <f t="array" ref="E141">IFERROR(INDEX('計測入力シート（ここのみ編集可）'!$AW$17:$AW$116,MATCH(A135&amp;B135,'計測入力シート（ここのみ編集可）'!$BO$17:$BO$116,0)),"")</f>
        <v/>
      </c>
      <c r="F141" s="296"/>
      <c r="G141" s="297" t="s">
        <v>110</v>
      </c>
      <c r="H141" s="298" t="str">
        <f t="array" ref="H141">IFERROR(INDEX('計測入力シート（ここのみ編集可）'!$AY$17:$AY$116,MATCH(A135&amp;B135,'計測入力シート（ここのみ編集可）'!$BO$17:$BO$116,0)),"")</f>
        <v/>
      </c>
    </row>
    <row r="142" ht="20.25" customHeight="1">
      <c r="D142" s="299" t="s">
        <v>42</v>
      </c>
      <c r="E142" s="300" t="str">
        <f t="array" ref="E142">IFERROR(INDEX('計測入力シート（ここのみ編集可）'!$AZ$17:$AZ$116,MATCH(A135&amp;B135,'計測入力シート（ここのみ編集可）'!$BO$17:$BO$116,0)),"")</f>
        <v/>
      </c>
      <c r="F142" s="116"/>
      <c r="G142" s="301" t="s">
        <v>111</v>
      </c>
      <c r="H142" s="302" t="str">
        <f t="array" ref="H142">IFERROR(INDEX('計測入力シート（ここのみ編集可）'!$BB$17:$BB$116,MATCH(A135&amp;B135,'計測入力シート（ここのみ編集可）'!$BO$17:$BO$116,0)),"")</f>
        <v/>
      </c>
    </row>
    <row r="143" ht="20.25" customHeight="1">
      <c r="D143" s="303" t="s">
        <v>112</v>
      </c>
      <c r="E143" s="304" t="str">
        <f t="array" ref="E143">IFERROR(INDEX('計測入力シート（ここのみ編集可）'!$BC$17:$BC$116,MATCH(A135&amp;B135,'計測入力シート（ここのみ編集可）'!$BO$17:$BO$116,0)),"")</f>
        <v/>
      </c>
      <c r="F143" s="305"/>
      <c r="G143" s="306" t="s">
        <v>25</v>
      </c>
      <c r="H143" s="307" t="str">
        <f t="array" ref="H143">IFERROR(INDEX('計測入力シート（ここのみ編集可）'!$BD$17:$BD$116,MATCH(A135&amp;B135,'計測入力シート（ここのみ編集可）'!$BO$17:$BO$116,0)),"")</f>
        <v/>
      </c>
    </row>
    <row r="144" ht="20.25" customHeight="1">
      <c r="D144" s="308"/>
    </row>
    <row r="145" ht="27.0" customHeight="1">
      <c r="A145" s="52" t="str">
        <f>A135</f>
        <v>A</v>
      </c>
      <c r="B145" s="52">
        <f>B135+1</f>
        <v>15</v>
      </c>
      <c r="D145" s="271" t="s">
        <v>80</v>
      </c>
      <c r="E145" s="272" t="s">
        <v>81</v>
      </c>
      <c r="F145" s="272" t="s">
        <v>82</v>
      </c>
      <c r="G145" s="273" t="s">
        <v>49</v>
      </c>
      <c r="H145" s="274"/>
    </row>
    <row r="146" ht="27.0" customHeight="1">
      <c r="A146" s="86"/>
      <c r="B146" s="86"/>
      <c r="D146" s="275" t="str">
        <f t="array" ref="D146">IFERROR(INDEX('計測入力シート（ここのみ編集可）'!$BN$17:$BN$116,MATCH(A145&amp;B145,'計測入力シート（ここのみ編集可）'!$BO$17:$BO$116,0)),"")</f>
        <v/>
      </c>
      <c r="E146" s="276" t="str">
        <f t="array" ref="E146">IFERROR(INDEX('計測入力シート（ここのみ編集可）'!$BP$17:$BP$116,MATCH(A145&amp;B145,'計測入力シート（ここのみ編集可）'!$BO$17:$BO$116,0)),"")</f>
        <v/>
      </c>
      <c r="F146" s="277" t="str">
        <f t="array" ref="F146">IFERROR(INDEX('計測入力シート（ここのみ編集可）'!$BR$17:$BR$116,MATCH(A145&amp;B145,'計測入力シート（ここのみ編集可）'!$BO$17:$BO$116,0)),"")</f>
        <v/>
      </c>
      <c r="G146" s="278" t="str">
        <f t="array" ref="G146">IFERROR(INDEX('計測入力シート（ここのみ編集可）'!$BL$17:$BL$116,MATCH(A145&amp;B145,'計測入力シート（ここのみ編集可）'!$BO$17:$BO$116,0)),"")</f>
        <v/>
      </c>
      <c r="H146" s="279"/>
    </row>
    <row r="147" ht="27.0" customHeight="1">
      <c r="D147" s="280" t="s">
        <v>2</v>
      </c>
      <c r="E147" s="281" t="str">
        <f t="array" ref="E147">IFERROR(INDEX('計測入力シート（ここのみ編集可）'!$C$17:$C$116,MATCH(A145&amp;B145,'計測入力シート（ここのみ編集可）'!$BO$17:$BO$116,0)),"")</f>
        <v/>
      </c>
      <c r="F147" s="282" t="s">
        <v>17</v>
      </c>
      <c r="G147" s="283" t="str">
        <f t="array" ref="G147">IFERROR(INDEX('計測入力シート（ここのみ編集可）'!$D$17:$D$116,MATCH(A145&amp;B145,'計測入力シート（ここのみ編集可）'!$BO$17:$BO$116,0)),"")</f>
        <v/>
      </c>
      <c r="H147" s="284"/>
    </row>
    <row r="148" ht="27.0" customHeight="1">
      <c r="D148" s="285" t="s">
        <v>1</v>
      </c>
      <c r="E148" s="286" t="str">
        <f t="array" ref="E148">IFERROR(INDEX('計測入力シート（ここのみ編集可）'!$B$17:$B$116,MATCH(A145&amp;B145,'計測入力シート（ここのみ編集可）'!$BO$17:$BO$116,0)),"")</f>
        <v/>
      </c>
      <c r="F148" s="287" t="s">
        <v>18</v>
      </c>
      <c r="G148" s="288" t="str">
        <f t="array" ref="G148">IFERROR(INDEX('計測入力シート（ここのみ編集可）'!$E$17:$E$116,MATCH(A145&amp;B145,'計測入力シート（ここのみ編集可）'!$BO$17:$BO$116,0)),"")</f>
        <v/>
      </c>
      <c r="H148" s="289"/>
    </row>
    <row r="149" ht="24.75" customHeight="1">
      <c r="D149" s="290" t="s">
        <v>92</v>
      </c>
      <c r="E149" s="291" t="str">
        <f t="array" ref="E149">IFERROR(INDEX(#REF!,MATCH(A145&amp;B145,'計測入力シート（ここのみ編集可）'!$BO$17:$BO$116,0)),"")</f>
        <v/>
      </c>
      <c r="H149" s="232"/>
    </row>
    <row r="150" ht="52.5" customHeight="1">
      <c r="D150" s="292" t="s">
        <v>100</v>
      </c>
      <c r="E150" s="293" t="str">
        <f t="array" ref="E150">IFERROR(INDEX(#REF!,MATCH(A145&amp;B145,'計測入力シート（ここのみ編集可）'!$BO$17:$BO$116,0)),"")</f>
        <v/>
      </c>
      <c r="F150" s="95"/>
      <c r="G150" s="95"/>
      <c r="H150" s="96"/>
    </row>
    <row r="151" ht="20.25" customHeight="1">
      <c r="D151" s="294" t="s">
        <v>39</v>
      </c>
      <c r="E151" s="295" t="str">
        <f t="array" ref="E151">IFERROR(INDEX('計測入力シート（ここのみ編集可）'!$AW$17:$AW$116,MATCH(A145&amp;B145,'計測入力シート（ここのみ編集可）'!$BO$17:$BO$116,0)),"")</f>
        <v/>
      </c>
      <c r="F151" s="296"/>
      <c r="G151" s="297" t="s">
        <v>110</v>
      </c>
      <c r="H151" s="298" t="str">
        <f t="array" ref="H151">IFERROR(INDEX('計測入力シート（ここのみ編集可）'!$AY$17:$AY$116,MATCH(A145&amp;B145,'計測入力シート（ここのみ編集可）'!$BO$17:$BO$116,0)),"")</f>
        <v/>
      </c>
    </row>
    <row r="152" ht="20.25" customHeight="1">
      <c r="D152" s="299" t="s">
        <v>42</v>
      </c>
      <c r="E152" s="300" t="str">
        <f t="array" ref="E152">IFERROR(INDEX('計測入力シート（ここのみ編集可）'!$AZ$17:$AZ$116,MATCH(A145&amp;B145,'計測入力シート（ここのみ編集可）'!$BO$17:$BO$116,0)),"")</f>
        <v/>
      </c>
      <c r="F152" s="116"/>
      <c r="G152" s="301" t="s">
        <v>111</v>
      </c>
      <c r="H152" s="302" t="str">
        <f t="array" ref="H152">IFERROR(INDEX('計測入力シート（ここのみ編集可）'!$BB$17:$BB$116,MATCH(A145&amp;B145,'計測入力シート（ここのみ編集可）'!$BO$17:$BO$116,0)),"")</f>
        <v/>
      </c>
    </row>
    <row r="153" ht="20.25" customHeight="1">
      <c r="D153" s="303" t="s">
        <v>112</v>
      </c>
      <c r="E153" s="304" t="str">
        <f t="array" ref="E153">IFERROR(INDEX('計測入力シート（ここのみ編集可）'!$BC$17:$BC$116,MATCH(A145&amp;B145,'計測入力シート（ここのみ編集可）'!$BO$17:$BO$116,0)),"")</f>
        <v/>
      </c>
      <c r="F153" s="305"/>
      <c r="G153" s="306" t="s">
        <v>25</v>
      </c>
      <c r="H153" s="307" t="str">
        <f t="array" ref="H153">IFERROR(INDEX('計測入力シート（ここのみ編集可）'!$BD$17:$BD$116,MATCH(A145&amp;B145,'計測入力シート（ここのみ編集可）'!$BO$17:$BO$116,0)),"")</f>
        <v/>
      </c>
    </row>
    <row r="154" ht="20.25" customHeight="1">
      <c r="D154" s="308"/>
    </row>
    <row r="155" ht="27.0" customHeight="1">
      <c r="A155" s="52" t="str">
        <f>A145</f>
        <v>A</v>
      </c>
      <c r="B155" s="52">
        <f>B145+1</f>
        <v>16</v>
      </c>
      <c r="D155" s="271" t="s">
        <v>80</v>
      </c>
      <c r="E155" s="272" t="s">
        <v>81</v>
      </c>
      <c r="F155" s="272" t="s">
        <v>82</v>
      </c>
      <c r="G155" s="273" t="s">
        <v>49</v>
      </c>
      <c r="H155" s="274"/>
    </row>
    <row r="156" ht="27.0" customHeight="1">
      <c r="A156" s="86"/>
      <c r="B156" s="86"/>
      <c r="D156" s="275" t="str">
        <f t="array" ref="D156">IFERROR(INDEX('計測入力シート（ここのみ編集可）'!$BN$17:$BN$116,MATCH(A155&amp;B155,'計測入力シート（ここのみ編集可）'!$BO$17:$BO$116,0)),"")</f>
        <v/>
      </c>
      <c r="E156" s="276" t="str">
        <f t="array" ref="E156">IFERROR(INDEX('計測入力シート（ここのみ編集可）'!$BP$17:$BP$116,MATCH(A155&amp;B155,'計測入力シート（ここのみ編集可）'!$BO$17:$BO$116,0)),"")</f>
        <v/>
      </c>
      <c r="F156" s="277" t="str">
        <f t="array" ref="F156">IFERROR(INDEX('計測入力シート（ここのみ編集可）'!$BR$17:$BR$116,MATCH(A155&amp;B155,'計測入力シート（ここのみ編集可）'!$BO$17:$BO$116,0)),"")</f>
        <v/>
      </c>
      <c r="G156" s="278" t="str">
        <f t="array" ref="G156">IFERROR(INDEX('計測入力シート（ここのみ編集可）'!$BL$17:$BL$116,MATCH(A155&amp;B155,'計測入力シート（ここのみ編集可）'!$BO$17:$BO$116,0)),"")</f>
        <v/>
      </c>
      <c r="H156" s="279"/>
    </row>
    <row r="157" ht="27.0" customHeight="1">
      <c r="D157" s="280" t="s">
        <v>2</v>
      </c>
      <c r="E157" s="281" t="str">
        <f t="array" ref="E157">IFERROR(INDEX('計測入力シート（ここのみ編集可）'!$C$17:$C$116,MATCH(A155&amp;B155,'計測入力シート（ここのみ編集可）'!$BO$17:$BO$116,0)),"")</f>
        <v/>
      </c>
      <c r="F157" s="282" t="s">
        <v>17</v>
      </c>
      <c r="G157" s="283" t="str">
        <f t="array" ref="G157">IFERROR(INDEX('計測入力シート（ここのみ編集可）'!$D$17:$D$116,MATCH(A155&amp;B155,'計測入力シート（ここのみ編集可）'!$BO$17:$BO$116,0)),"")</f>
        <v/>
      </c>
      <c r="H157" s="284"/>
    </row>
    <row r="158" ht="27.0" customHeight="1">
      <c r="D158" s="285" t="s">
        <v>1</v>
      </c>
      <c r="E158" s="286" t="str">
        <f t="array" ref="E158">IFERROR(INDEX('計測入力シート（ここのみ編集可）'!$B$17:$B$116,MATCH(A155&amp;B155,'計測入力シート（ここのみ編集可）'!$BO$17:$BO$116,0)),"")</f>
        <v/>
      </c>
      <c r="F158" s="287" t="s">
        <v>18</v>
      </c>
      <c r="G158" s="288" t="str">
        <f t="array" ref="G158">IFERROR(INDEX('計測入力シート（ここのみ編集可）'!$E$17:$E$116,MATCH(A155&amp;B155,'計測入力シート（ここのみ編集可）'!$BO$17:$BO$116,0)),"")</f>
        <v/>
      </c>
      <c r="H158" s="289"/>
    </row>
    <row r="159" ht="24.75" customHeight="1">
      <c r="D159" s="290" t="s">
        <v>92</v>
      </c>
      <c r="E159" s="291" t="str">
        <f t="array" ref="E159">IFERROR(INDEX(#REF!,MATCH(A155&amp;B155,'計測入力シート（ここのみ編集可）'!$BO$17:$BO$116,0)),"")</f>
        <v/>
      </c>
      <c r="H159" s="232"/>
    </row>
    <row r="160" ht="52.5" customHeight="1">
      <c r="D160" s="292" t="s">
        <v>100</v>
      </c>
      <c r="E160" s="293" t="str">
        <f t="array" ref="E160">IFERROR(INDEX(#REF!,MATCH(A155&amp;B155,'計測入力シート（ここのみ編集可）'!$BO$17:$BO$116,0)),"")</f>
        <v/>
      </c>
      <c r="F160" s="95"/>
      <c r="G160" s="95"/>
      <c r="H160" s="96"/>
    </row>
    <row r="161" ht="20.25" customHeight="1">
      <c r="D161" s="294" t="s">
        <v>39</v>
      </c>
      <c r="E161" s="295" t="str">
        <f t="array" ref="E161">IFERROR(INDEX('計測入力シート（ここのみ編集可）'!$AW$17:$AW$116,MATCH(A155&amp;B155,'計測入力シート（ここのみ編集可）'!$BO$17:$BO$116,0)),"")</f>
        <v/>
      </c>
      <c r="F161" s="296"/>
      <c r="G161" s="297" t="s">
        <v>110</v>
      </c>
      <c r="H161" s="298" t="str">
        <f t="array" ref="H161">IFERROR(INDEX('計測入力シート（ここのみ編集可）'!$AY$17:$AY$116,MATCH(A155&amp;B155,'計測入力シート（ここのみ編集可）'!$BO$17:$BO$116,0)),"")</f>
        <v/>
      </c>
    </row>
    <row r="162" ht="20.25" customHeight="1">
      <c r="D162" s="299" t="s">
        <v>42</v>
      </c>
      <c r="E162" s="300" t="str">
        <f t="array" ref="E162">IFERROR(INDEX('計測入力シート（ここのみ編集可）'!$AZ$17:$AZ$116,MATCH(A155&amp;B155,'計測入力シート（ここのみ編集可）'!$BO$17:$BO$116,0)),"")</f>
        <v/>
      </c>
      <c r="F162" s="116"/>
      <c r="G162" s="301" t="s">
        <v>111</v>
      </c>
      <c r="H162" s="302" t="str">
        <f t="array" ref="H162">IFERROR(INDEX('計測入力シート（ここのみ編集可）'!$BB$17:$BB$116,MATCH(A155&amp;B155,'計測入力シート（ここのみ編集可）'!$BO$17:$BO$116,0)),"")</f>
        <v/>
      </c>
    </row>
    <row r="163" ht="20.25" customHeight="1">
      <c r="D163" s="303" t="s">
        <v>112</v>
      </c>
      <c r="E163" s="304" t="str">
        <f t="array" ref="E163">IFERROR(INDEX('計測入力シート（ここのみ編集可）'!$BC$17:$BC$116,MATCH(A155&amp;B155,'計測入力シート（ここのみ編集可）'!$BO$17:$BO$116,0)),"")</f>
        <v/>
      </c>
      <c r="F163" s="305"/>
      <c r="G163" s="306" t="s">
        <v>25</v>
      </c>
      <c r="H163" s="307" t="str">
        <f t="array" ref="H163">IFERROR(INDEX('計測入力シート（ここのみ編集可）'!$BD$17:$BD$116,MATCH(A155&amp;B155,'計測入力シート（ここのみ編集可）'!$BO$17:$BO$116,0)),"")</f>
        <v/>
      </c>
    </row>
    <row r="164" ht="20.25" customHeight="1">
      <c r="D164" s="308"/>
    </row>
    <row r="165" ht="27.0" customHeight="1">
      <c r="A165" s="52" t="str">
        <f>A155</f>
        <v>A</v>
      </c>
      <c r="B165" s="52">
        <f>B155+1</f>
        <v>17</v>
      </c>
      <c r="D165" s="271" t="s">
        <v>80</v>
      </c>
      <c r="E165" s="272" t="s">
        <v>81</v>
      </c>
      <c r="F165" s="272" t="s">
        <v>82</v>
      </c>
      <c r="G165" s="273" t="s">
        <v>49</v>
      </c>
      <c r="H165" s="274"/>
    </row>
    <row r="166" ht="27.0" customHeight="1">
      <c r="A166" s="86"/>
      <c r="B166" s="86"/>
      <c r="D166" s="275" t="str">
        <f t="array" ref="D166">IFERROR(INDEX('計測入力シート（ここのみ編集可）'!$BN$17:$BN$116,MATCH(A165&amp;B165,'計測入力シート（ここのみ編集可）'!$BO$17:$BO$116,0)),"")</f>
        <v/>
      </c>
      <c r="E166" s="276" t="str">
        <f t="array" ref="E166">IFERROR(INDEX('計測入力シート（ここのみ編集可）'!$BP$17:$BP$116,MATCH(A165&amp;B165,'計測入力シート（ここのみ編集可）'!$BO$17:$BO$116,0)),"")</f>
        <v/>
      </c>
      <c r="F166" s="277" t="str">
        <f t="array" ref="F166">IFERROR(INDEX('計測入力シート（ここのみ編集可）'!$BR$17:$BR$116,MATCH(A165&amp;B165,'計測入力シート（ここのみ編集可）'!$BO$17:$BO$116,0)),"")</f>
        <v/>
      </c>
      <c r="G166" s="278" t="str">
        <f t="array" ref="G166">IFERROR(INDEX('計測入力シート（ここのみ編集可）'!$BL$17:$BL$116,MATCH(A165&amp;B165,'計測入力シート（ここのみ編集可）'!$BO$17:$BO$116,0)),"")</f>
        <v/>
      </c>
      <c r="H166" s="279"/>
    </row>
    <row r="167" ht="27.0" customHeight="1">
      <c r="D167" s="280" t="s">
        <v>2</v>
      </c>
      <c r="E167" s="281" t="str">
        <f t="array" ref="E167">IFERROR(INDEX('計測入力シート（ここのみ編集可）'!$C$17:$C$116,MATCH(A165&amp;B165,'計測入力シート（ここのみ編集可）'!$BO$17:$BO$116,0)),"")</f>
        <v/>
      </c>
      <c r="F167" s="282" t="s">
        <v>17</v>
      </c>
      <c r="G167" s="283" t="str">
        <f t="array" ref="G167">IFERROR(INDEX('計測入力シート（ここのみ編集可）'!$D$17:$D$116,MATCH(A165&amp;B165,'計測入力シート（ここのみ編集可）'!$BO$17:$BO$116,0)),"")</f>
        <v/>
      </c>
      <c r="H167" s="284"/>
    </row>
    <row r="168" ht="27.0" customHeight="1">
      <c r="D168" s="285" t="s">
        <v>1</v>
      </c>
      <c r="E168" s="286" t="str">
        <f t="array" ref="E168">IFERROR(INDEX('計測入力シート（ここのみ編集可）'!$B$17:$B$116,MATCH(A165&amp;B165,'計測入力シート（ここのみ編集可）'!$BO$17:$BO$116,0)),"")</f>
        <v/>
      </c>
      <c r="F168" s="287" t="s">
        <v>18</v>
      </c>
      <c r="G168" s="288" t="str">
        <f t="array" ref="G168">IFERROR(INDEX('計測入力シート（ここのみ編集可）'!$E$17:$E$116,MATCH(A165&amp;B165,'計測入力シート（ここのみ編集可）'!$BO$17:$BO$116,0)),"")</f>
        <v/>
      </c>
      <c r="H168" s="289"/>
    </row>
    <row r="169" ht="24.75" customHeight="1">
      <c r="D169" s="290" t="s">
        <v>92</v>
      </c>
      <c r="E169" s="291" t="str">
        <f t="array" ref="E169">IFERROR(INDEX(#REF!,MATCH(A165&amp;B165,'計測入力シート（ここのみ編集可）'!$BO$17:$BO$116,0)),"")</f>
        <v/>
      </c>
      <c r="H169" s="232"/>
    </row>
    <row r="170" ht="52.5" customHeight="1">
      <c r="D170" s="292" t="s">
        <v>100</v>
      </c>
      <c r="E170" s="293" t="str">
        <f t="array" ref="E170">IFERROR(INDEX(#REF!,MATCH(A165&amp;B165,'計測入力シート（ここのみ編集可）'!$BO$17:$BO$116,0)),"")</f>
        <v/>
      </c>
      <c r="F170" s="95"/>
      <c r="G170" s="95"/>
      <c r="H170" s="96"/>
    </row>
    <row r="171" ht="20.25" customHeight="1">
      <c r="D171" s="294" t="s">
        <v>39</v>
      </c>
      <c r="E171" s="295" t="str">
        <f t="array" ref="E171">IFERROR(INDEX('計測入力シート（ここのみ編集可）'!$AW$17:$AW$116,MATCH(A165&amp;B165,'計測入力シート（ここのみ編集可）'!$BO$17:$BO$116,0)),"")</f>
        <v/>
      </c>
      <c r="F171" s="296"/>
      <c r="G171" s="297" t="s">
        <v>110</v>
      </c>
      <c r="H171" s="298" t="str">
        <f t="array" ref="H171">IFERROR(INDEX('計測入力シート（ここのみ編集可）'!$AY$17:$AY$116,MATCH(A165&amp;B165,'計測入力シート（ここのみ編集可）'!$BO$17:$BO$116,0)),"")</f>
        <v/>
      </c>
    </row>
    <row r="172" ht="20.25" customHeight="1">
      <c r="D172" s="299" t="s">
        <v>42</v>
      </c>
      <c r="E172" s="300" t="str">
        <f t="array" ref="E172">IFERROR(INDEX('計測入力シート（ここのみ編集可）'!$AZ$17:$AZ$116,MATCH(A165&amp;B165,'計測入力シート（ここのみ編集可）'!$BO$17:$BO$116,0)),"")</f>
        <v/>
      </c>
      <c r="F172" s="116"/>
      <c r="G172" s="301" t="s">
        <v>111</v>
      </c>
      <c r="H172" s="302" t="str">
        <f t="array" ref="H172">IFERROR(INDEX('計測入力シート（ここのみ編集可）'!$BB$17:$BB$116,MATCH(A165&amp;B165,'計測入力シート（ここのみ編集可）'!$BO$17:$BO$116,0)),"")</f>
        <v/>
      </c>
    </row>
    <row r="173" ht="20.25" customHeight="1">
      <c r="D173" s="303" t="s">
        <v>112</v>
      </c>
      <c r="E173" s="304" t="str">
        <f t="array" ref="E173">IFERROR(INDEX('計測入力シート（ここのみ編集可）'!$BC$17:$BC$116,MATCH(A165&amp;B165,'計測入力シート（ここのみ編集可）'!$BO$17:$BO$116,0)),"")</f>
        <v/>
      </c>
      <c r="F173" s="305"/>
      <c r="G173" s="306" t="s">
        <v>25</v>
      </c>
      <c r="H173" s="307" t="str">
        <f t="array" ref="H173">IFERROR(INDEX('計測入力シート（ここのみ編集可）'!$BD$17:$BD$116,MATCH(A165&amp;B165,'計測入力シート（ここのみ編集可）'!$BO$17:$BO$116,0)),"")</f>
        <v/>
      </c>
    </row>
    <row r="174" ht="20.25" customHeight="1">
      <c r="D174" s="308"/>
    </row>
    <row r="175" ht="27.0" customHeight="1">
      <c r="A175" s="52" t="str">
        <f>A165</f>
        <v>A</v>
      </c>
      <c r="B175" s="52">
        <f>B165+1</f>
        <v>18</v>
      </c>
      <c r="D175" s="271" t="s">
        <v>80</v>
      </c>
      <c r="E175" s="272" t="s">
        <v>81</v>
      </c>
      <c r="F175" s="272" t="s">
        <v>82</v>
      </c>
      <c r="G175" s="273" t="s">
        <v>49</v>
      </c>
      <c r="H175" s="274"/>
    </row>
    <row r="176" ht="27.0" customHeight="1">
      <c r="A176" s="86"/>
      <c r="B176" s="86"/>
      <c r="D176" s="275" t="str">
        <f t="array" ref="D176">IFERROR(INDEX('計測入力シート（ここのみ編集可）'!$BN$17:$BN$116,MATCH(A175&amp;B175,'計測入力シート（ここのみ編集可）'!$BO$17:$BO$116,0)),"")</f>
        <v/>
      </c>
      <c r="E176" s="276" t="str">
        <f t="array" ref="E176">IFERROR(INDEX('計測入力シート（ここのみ編集可）'!$BP$17:$BP$116,MATCH(A175&amp;B175,'計測入力シート（ここのみ編集可）'!$BO$17:$BO$116,0)),"")</f>
        <v/>
      </c>
      <c r="F176" s="277" t="str">
        <f t="array" ref="F176">IFERROR(INDEX('計測入力シート（ここのみ編集可）'!$BR$17:$BR$116,MATCH(A175&amp;B175,'計測入力シート（ここのみ編集可）'!$BO$17:$BO$116,0)),"")</f>
        <v/>
      </c>
      <c r="G176" s="278" t="str">
        <f t="array" ref="G176">IFERROR(INDEX('計測入力シート（ここのみ編集可）'!$BL$17:$BL$116,MATCH(A175&amp;B175,'計測入力シート（ここのみ編集可）'!$BO$17:$BO$116,0)),"")</f>
        <v/>
      </c>
      <c r="H176" s="279"/>
    </row>
    <row r="177" ht="27.0" customHeight="1">
      <c r="D177" s="280" t="s">
        <v>2</v>
      </c>
      <c r="E177" s="281" t="str">
        <f t="array" ref="E177">IFERROR(INDEX('計測入力シート（ここのみ編集可）'!$C$17:$C$116,MATCH(A175&amp;B175,'計測入力シート（ここのみ編集可）'!$BO$17:$BO$116,0)),"")</f>
        <v/>
      </c>
      <c r="F177" s="282" t="s">
        <v>17</v>
      </c>
      <c r="G177" s="283" t="str">
        <f t="array" ref="G177">IFERROR(INDEX('計測入力シート（ここのみ編集可）'!$D$17:$D$116,MATCH(A175&amp;B175,'計測入力シート（ここのみ編集可）'!$BO$17:$BO$116,0)),"")</f>
        <v/>
      </c>
      <c r="H177" s="284"/>
    </row>
    <row r="178" ht="27.0" customHeight="1">
      <c r="D178" s="285" t="s">
        <v>1</v>
      </c>
      <c r="E178" s="286" t="str">
        <f t="array" ref="E178">IFERROR(INDEX('計測入力シート（ここのみ編集可）'!$B$17:$B$116,MATCH(A175&amp;B175,'計測入力シート（ここのみ編集可）'!$BO$17:$BO$116,0)),"")</f>
        <v/>
      </c>
      <c r="F178" s="287" t="s">
        <v>18</v>
      </c>
      <c r="G178" s="288" t="str">
        <f t="array" ref="G178">IFERROR(INDEX('計測入力シート（ここのみ編集可）'!$E$17:$E$116,MATCH(A175&amp;B175,'計測入力シート（ここのみ編集可）'!$BO$17:$BO$116,0)),"")</f>
        <v/>
      </c>
      <c r="H178" s="289"/>
    </row>
    <row r="179" ht="24.75" customHeight="1">
      <c r="D179" s="290" t="s">
        <v>92</v>
      </c>
      <c r="E179" s="291" t="str">
        <f t="array" ref="E179">IFERROR(INDEX(#REF!,MATCH(A175&amp;B175,'計測入力シート（ここのみ編集可）'!$BO$17:$BO$116,0)),"")</f>
        <v/>
      </c>
      <c r="H179" s="232"/>
    </row>
    <row r="180" ht="52.5" customHeight="1">
      <c r="D180" s="292" t="s">
        <v>100</v>
      </c>
      <c r="E180" s="293" t="str">
        <f t="array" ref="E180">IFERROR(INDEX(#REF!,MATCH(A175&amp;B175,'計測入力シート（ここのみ編集可）'!$BO$17:$BO$116,0)),"")</f>
        <v/>
      </c>
      <c r="F180" s="95"/>
      <c r="G180" s="95"/>
      <c r="H180" s="96"/>
    </row>
    <row r="181" ht="20.25" customHeight="1">
      <c r="D181" s="294" t="s">
        <v>39</v>
      </c>
      <c r="E181" s="295" t="str">
        <f t="array" ref="E181">IFERROR(INDEX('計測入力シート（ここのみ編集可）'!$AW$17:$AW$116,MATCH(A175&amp;B175,'計測入力シート（ここのみ編集可）'!$BO$17:$BO$116,0)),"")</f>
        <v/>
      </c>
      <c r="F181" s="296"/>
      <c r="G181" s="297" t="s">
        <v>110</v>
      </c>
      <c r="H181" s="298" t="str">
        <f t="array" ref="H181">IFERROR(INDEX('計測入力シート（ここのみ編集可）'!$AY$17:$AY$116,MATCH(A175&amp;B175,'計測入力シート（ここのみ編集可）'!$BO$17:$BO$116,0)),"")</f>
        <v/>
      </c>
    </row>
    <row r="182" ht="20.25" customHeight="1">
      <c r="D182" s="299" t="s">
        <v>42</v>
      </c>
      <c r="E182" s="300" t="str">
        <f t="array" ref="E182">IFERROR(INDEX('計測入力シート（ここのみ編集可）'!$AZ$17:$AZ$116,MATCH(A175&amp;B175,'計測入力シート（ここのみ編集可）'!$BO$17:$BO$116,0)),"")</f>
        <v/>
      </c>
      <c r="F182" s="116"/>
      <c r="G182" s="301" t="s">
        <v>111</v>
      </c>
      <c r="H182" s="302" t="str">
        <f t="array" ref="H182">IFERROR(INDEX('計測入力シート（ここのみ編集可）'!$BB$17:$BB$116,MATCH(A175&amp;B175,'計測入力シート（ここのみ編集可）'!$BO$17:$BO$116,0)),"")</f>
        <v/>
      </c>
    </row>
    <row r="183" ht="20.25" customHeight="1">
      <c r="D183" s="303" t="s">
        <v>112</v>
      </c>
      <c r="E183" s="304" t="str">
        <f t="array" ref="E183">IFERROR(INDEX('計測入力シート（ここのみ編集可）'!$BC$17:$BC$116,MATCH(A175&amp;B175,'計測入力シート（ここのみ編集可）'!$BO$17:$BO$116,0)),"")</f>
        <v/>
      </c>
      <c r="F183" s="305"/>
      <c r="G183" s="306" t="s">
        <v>25</v>
      </c>
      <c r="H183" s="307" t="str">
        <f t="array" ref="H183">IFERROR(INDEX('計測入力シート（ここのみ編集可）'!$BD$17:$BD$116,MATCH(A175&amp;B175,'計測入力シート（ここのみ編集可）'!$BO$17:$BO$116,0)),"")</f>
        <v/>
      </c>
    </row>
    <row r="184" ht="20.25" customHeight="1">
      <c r="D184" s="308"/>
    </row>
    <row r="185" ht="27.0" customHeight="1">
      <c r="A185" s="52" t="str">
        <f>A175</f>
        <v>A</v>
      </c>
      <c r="B185" s="52">
        <f>B175+1</f>
        <v>19</v>
      </c>
      <c r="D185" s="271" t="s">
        <v>80</v>
      </c>
      <c r="E185" s="272" t="s">
        <v>81</v>
      </c>
      <c r="F185" s="272" t="s">
        <v>82</v>
      </c>
      <c r="G185" s="273" t="s">
        <v>49</v>
      </c>
      <c r="H185" s="274"/>
    </row>
    <row r="186" ht="27.0" customHeight="1">
      <c r="A186" s="86"/>
      <c r="B186" s="86"/>
      <c r="D186" s="275" t="str">
        <f t="array" ref="D186">IFERROR(INDEX('計測入力シート（ここのみ編集可）'!$BN$17:$BN$116,MATCH(A185&amp;B185,'計測入力シート（ここのみ編集可）'!$BO$17:$BO$116,0)),"")</f>
        <v/>
      </c>
      <c r="E186" s="276" t="str">
        <f t="array" ref="E186">IFERROR(INDEX('計測入力シート（ここのみ編集可）'!$BP$17:$BP$116,MATCH(A185&amp;B185,'計測入力シート（ここのみ編集可）'!$BO$17:$BO$116,0)),"")</f>
        <v/>
      </c>
      <c r="F186" s="277" t="str">
        <f t="array" ref="F186">IFERROR(INDEX('計測入力シート（ここのみ編集可）'!$BR$17:$BR$116,MATCH(A185&amp;B185,'計測入力シート（ここのみ編集可）'!$BO$17:$BO$116,0)),"")</f>
        <v/>
      </c>
      <c r="G186" s="278" t="str">
        <f t="array" ref="G186">IFERROR(INDEX('計測入力シート（ここのみ編集可）'!$BL$17:$BL$116,MATCH(A185&amp;B185,'計測入力シート（ここのみ編集可）'!$BO$17:$BO$116,0)),"")</f>
        <v/>
      </c>
      <c r="H186" s="279"/>
    </row>
    <row r="187" ht="27.0" customHeight="1">
      <c r="D187" s="280" t="s">
        <v>2</v>
      </c>
      <c r="E187" s="281" t="str">
        <f t="array" ref="E187">IFERROR(INDEX('計測入力シート（ここのみ編集可）'!$C$17:$C$116,MATCH(A185&amp;B185,'計測入力シート（ここのみ編集可）'!$BO$17:$BO$116,0)),"")</f>
        <v/>
      </c>
      <c r="F187" s="282" t="s">
        <v>17</v>
      </c>
      <c r="G187" s="283" t="str">
        <f t="array" ref="G187">IFERROR(INDEX('計測入力シート（ここのみ編集可）'!$D$17:$D$116,MATCH(A185&amp;B185,'計測入力シート（ここのみ編集可）'!$BO$17:$BO$116,0)),"")</f>
        <v/>
      </c>
      <c r="H187" s="284"/>
    </row>
    <row r="188" ht="27.0" customHeight="1">
      <c r="D188" s="285" t="s">
        <v>1</v>
      </c>
      <c r="E188" s="286" t="str">
        <f t="array" ref="E188">IFERROR(INDEX('計測入力シート（ここのみ編集可）'!$B$17:$B$116,MATCH(A185&amp;B185,'計測入力シート（ここのみ編集可）'!$BO$17:$BO$116,0)),"")</f>
        <v/>
      </c>
      <c r="F188" s="287" t="s">
        <v>18</v>
      </c>
      <c r="G188" s="288" t="str">
        <f t="array" ref="G188">IFERROR(INDEX('計測入力シート（ここのみ編集可）'!$E$17:$E$116,MATCH(A185&amp;B185,'計測入力シート（ここのみ編集可）'!$BO$17:$BO$116,0)),"")</f>
        <v/>
      </c>
      <c r="H188" s="289"/>
    </row>
    <row r="189" ht="24.75" customHeight="1">
      <c r="D189" s="290" t="s">
        <v>92</v>
      </c>
      <c r="E189" s="291" t="str">
        <f t="array" ref="E189">IFERROR(INDEX(#REF!,MATCH(A185&amp;B185,'計測入力シート（ここのみ編集可）'!$BO$17:$BO$116,0)),"")</f>
        <v/>
      </c>
      <c r="H189" s="232"/>
    </row>
    <row r="190" ht="52.5" customHeight="1">
      <c r="D190" s="292" t="s">
        <v>100</v>
      </c>
      <c r="E190" s="293" t="str">
        <f t="array" ref="E190">IFERROR(INDEX(#REF!,MATCH(A185&amp;B185,'計測入力シート（ここのみ編集可）'!$BO$17:$BO$116,0)),"")</f>
        <v/>
      </c>
      <c r="F190" s="95"/>
      <c r="G190" s="95"/>
      <c r="H190" s="96"/>
    </row>
    <row r="191" ht="20.25" customHeight="1">
      <c r="D191" s="294" t="s">
        <v>39</v>
      </c>
      <c r="E191" s="295" t="str">
        <f t="array" ref="E191">IFERROR(INDEX('計測入力シート（ここのみ編集可）'!$AW$17:$AW$116,MATCH(A185&amp;B185,'計測入力シート（ここのみ編集可）'!$BO$17:$BO$116,0)),"")</f>
        <v/>
      </c>
      <c r="F191" s="296"/>
      <c r="G191" s="297" t="s">
        <v>110</v>
      </c>
      <c r="H191" s="298" t="str">
        <f t="array" ref="H191">IFERROR(INDEX('計測入力シート（ここのみ編集可）'!$AY$17:$AY$116,MATCH(A185&amp;B185,'計測入力シート（ここのみ編集可）'!$BO$17:$BO$116,0)),"")</f>
        <v/>
      </c>
    </row>
    <row r="192" ht="20.25" customHeight="1">
      <c r="D192" s="299" t="s">
        <v>42</v>
      </c>
      <c r="E192" s="300" t="str">
        <f t="array" ref="E192">IFERROR(INDEX('計測入力シート（ここのみ編集可）'!$AZ$17:$AZ$116,MATCH(A185&amp;B185,'計測入力シート（ここのみ編集可）'!$BO$17:$BO$116,0)),"")</f>
        <v/>
      </c>
      <c r="F192" s="116"/>
      <c r="G192" s="301" t="s">
        <v>111</v>
      </c>
      <c r="H192" s="302" t="str">
        <f t="array" ref="H192">IFERROR(INDEX('計測入力シート（ここのみ編集可）'!$BB$17:$BB$116,MATCH(A185&amp;B185,'計測入力シート（ここのみ編集可）'!$BO$17:$BO$116,0)),"")</f>
        <v/>
      </c>
    </row>
    <row r="193" ht="20.25" customHeight="1">
      <c r="D193" s="303" t="s">
        <v>112</v>
      </c>
      <c r="E193" s="304" t="str">
        <f t="array" ref="E193">IFERROR(INDEX('計測入力シート（ここのみ編集可）'!$BC$17:$BC$116,MATCH(A185&amp;B185,'計測入力シート（ここのみ編集可）'!$BO$17:$BO$116,0)),"")</f>
        <v/>
      </c>
      <c r="F193" s="305"/>
      <c r="G193" s="306" t="s">
        <v>25</v>
      </c>
      <c r="H193" s="307" t="str">
        <f t="array" ref="H193">IFERROR(INDEX('計測入力シート（ここのみ編集可）'!$BD$17:$BD$116,MATCH(A185&amp;B185,'計測入力シート（ここのみ編集可）'!$BO$17:$BO$116,0)),"")</f>
        <v/>
      </c>
    </row>
    <row r="194" ht="20.25" customHeight="1">
      <c r="D194" s="308"/>
    </row>
    <row r="195" ht="27.0" customHeight="1">
      <c r="A195" s="52" t="str">
        <f>A185</f>
        <v>A</v>
      </c>
      <c r="B195" s="52">
        <f>B185+1</f>
        <v>20</v>
      </c>
      <c r="D195" s="271" t="s">
        <v>80</v>
      </c>
      <c r="E195" s="272" t="s">
        <v>81</v>
      </c>
      <c r="F195" s="272" t="s">
        <v>82</v>
      </c>
      <c r="G195" s="273" t="s">
        <v>49</v>
      </c>
      <c r="H195" s="274"/>
    </row>
    <row r="196" ht="27.0" customHeight="1">
      <c r="A196" s="86"/>
      <c r="B196" s="86"/>
      <c r="D196" s="275" t="str">
        <f t="array" ref="D196">IFERROR(INDEX('計測入力シート（ここのみ編集可）'!$BN$17:$BN$116,MATCH(A195&amp;B195,'計測入力シート（ここのみ編集可）'!$BO$17:$BO$116,0)),"")</f>
        <v/>
      </c>
      <c r="E196" s="276" t="str">
        <f t="array" ref="E196">IFERROR(INDEX('計測入力シート（ここのみ編集可）'!$BP$17:$BP$116,MATCH(A195&amp;B195,'計測入力シート（ここのみ編集可）'!$BO$17:$BO$116,0)),"")</f>
        <v/>
      </c>
      <c r="F196" s="277" t="str">
        <f t="array" ref="F196">IFERROR(INDEX('計測入力シート（ここのみ編集可）'!$BR$17:$BR$116,MATCH(A195&amp;B195,'計測入力シート（ここのみ編集可）'!$BO$17:$BO$116,0)),"")</f>
        <v/>
      </c>
      <c r="G196" s="278" t="str">
        <f t="array" ref="G196">IFERROR(INDEX('計測入力シート（ここのみ編集可）'!$BL$17:$BL$116,MATCH(A195&amp;B195,'計測入力シート（ここのみ編集可）'!$BO$17:$BO$116,0)),"")</f>
        <v/>
      </c>
      <c r="H196" s="279"/>
    </row>
    <row r="197" ht="27.0" customHeight="1">
      <c r="D197" s="280" t="s">
        <v>2</v>
      </c>
      <c r="E197" s="281" t="str">
        <f t="array" ref="E197">IFERROR(INDEX('計測入力シート（ここのみ編集可）'!$C$17:$C$116,MATCH(A195&amp;B195,'計測入力シート（ここのみ編集可）'!$BO$17:$BO$116,0)),"")</f>
        <v/>
      </c>
      <c r="F197" s="282" t="s">
        <v>17</v>
      </c>
      <c r="G197" s="283" t="str">
        <f t="array" ref="G197">IFERROR(INDEX('計測入力シート（ここのみ編集可）'!$D$17:$D$116,MATCH(A195&amp;B195,'計測入力シート（ここのみ編集可）'!$BO$17:$BO$116,0)),"")</f>
        <v/>
      </c>
      <c r="H197" s="284"/>
    </row>
    <row r="198" ht="27.0" customHeight="1">
      <c r="D198" s="285" t="s">
        <v>1</v>
      </c>
      <c r="E198" s="286" t="str">
        <f t="array" ref="E198">IFERROR(INDEX('計測入力シート（ここのみ編集可）'!$B$17:$B$116,MATCH(A195&amp;B195,'計測入力シート（ここのみ編集可）'!$BO$17:$BO$116,0)),"")</f>
        <v/>
      </c>
      <c r="F198" s="287" t="s">
        <v>18</v>
      </c>
      <c r="G198" s="288" t="str">
        <f t="array" ref="G198">IFERROR(INDEX('計測入力シート（ここのみ編集可）'!$E$17:$E$116,MATCH(A195&amp;B195,'計測入力シート（ここのみ編集可）'!$BO$17:$BO$116,0)),"")</f>
        <v/>
      </c>
      <c r="H198" s="289"/>
    </row>
    <row r="199" ht="24.75" customHeight="1">
      <c r="D199" s="290" t="s">
        <v>92</v>
      </c>
      <c r="E199" s="291" t="str">
        <f t="array" ref="E199">IFERROR(INDEX(#REF!,MATCH(A195&amp;B195,'計測入力シート（ここのみ編集可）'!$BO$17:$BO$116,0)),"")</f>
        <v/>
      </c>
      <c r="H199" s="232"/>
    </row>
    <row r="200" ht="52.5" customHeight="1">
      <c r="D200" s="292" t="s">
        <v>100</v>
      </c>
      <c r="E200" s="293" t="str">
        <f t="array" ref="E200">IFERROR(INDEX(#REF!,MATCH(A195&amp;B195,'計測入力シート（ここのみ編集可）'!$BO$17:$BO$116,0)),"")</f>
        <v/>
      </c>
      <c r="F200" s="95"/>
      <c r="G200" s="95"/>
      <c r="H200" s="96"/>
    </row>
    <row r="201" ht="20.25" customHeight="1">
      <c r="D201" s="294" t="s">
        <v>39</v>
      </c>
      <c r="E201" s="295" t="str">
        <f t="array" ref="E201">IFERROR(INDEX('計測入力シート（ここのみ編集可）'!$AW$17:$AW$116,MATCH(A195&amp;B195,'計測入力シート（ここのみ編集可）'!$BO$17:$BO$116,0)),"")</f>
        <v/>
      </c>
      <c r="F201" s="296"/>
      <c r="G201" s="297" t="s">
        <v>110</v>
      </c>
      <c r="H201" s="298" t="str">
        <f t="array" ref="H201">IFERROR(INDEX('計測入力シート（ここのみ編集可）'!$AY$17:$AY$116,MATCH(A195&amp;B195,'計測入力シート（ここのみ編集可）'!$BO$17:$BO$116,0)),"")</f>
        <v/>
      </c>
    </row>
    <row r="202" ht="20.25" customHeight="1">
      <c r="D202" s="299" t="s">
        <v>42</v>
      </c>
      <c r="E202" s="300" t="str">
        <f t="array" ref="E202">IFERROR(INDEX('計測入力シート（ここのみ編集可）'!$AZ$17:$AZ$116,MATCH(A195&amp;B195,'計測入力シート（ここのみ編集可）'!$BO$17:$BO$116,0)),"")</f>
        <v/>
      </c>
      <c r="F202" s="116"/>
      <c r="G202" s="301" t="s">
        <v>111</v>
      </c>
      <c r="H202" s="302" t="str">
        <f t="array" ref="H202">IFERROR(INDEX('計測入力シート（ここのみ編集可）'!$BB$17:$BB$116,MATCH(A195&amp;B195,'計測入力シート（ここのみ編集可）'!$BO$17:$BO$116,0)),"")</f>
        <v/>
      </c>
    </row>
    <row r="203" ht="20.25" customHeight="1">
      <c r="D203" s="303" t="s">
        <v>112</v>
      </c>
      <c r="E203" s="304" t="str">
        <f t="array" ref="E203">IFERROR(INDEX('計測入力シート（ここのみ編集可）'!$BC$17:$BC$116,MATCH(A195&amp;B195,'計測入力シート（ここのみ編集可）'!$BO$17:$BO$116,0)),"")</f>
        <v/>
      </c>
      <c r="F203" s="305"/>
      <c r="G203" s="306" t="s">
        <v>25</v>
      </c>
      <c r="H203" s="307" t="str">
        <f t="array" ref="H203">IFERROR(INDEX('計測入力シート（ここのみ編集可）'!$BD$17:$BD$116,MATCH(A195&amp;B195,'計測入力シート（ここのみ編集可）'!$BO$17:$BO$116,0)),"")</f>
        <v/>
      </c>
    </row>
    <row r="204" ht="20.25" customHeight="1">
      <c r="D204" s="308"/>
    </row>
    <row r="205" ht="27.0" customHeight="1">
      <c r="A205" s="52" t="str">
        <f>A195</f>
        <v>A</v>
      </c>
      <c r="B205" s="52">
        <f>B195+1</f>
        <v>21</v>
      </c>
      <c r="D205" s="271" t="s">
        <v>80</v>
      </c>
      <c r="E205" s="272" t="s">
        <v>81</v>
      </c>
      <c r="F205" s="272" t="s">
        <v>82</v>
      </c>
      <c r="G205" s="273" t="s">
        <v>49</v>
      </c>
      <c r="H205" s="274"/>
    </row>
    <row r="206" ht="27.0" customHeight="1">
      <c r="A206" s="86"/>
      <c r="B206" s="86"/>
      <c r="D206" s="275" t="str">
        <f t="array" ref="D206">IFERROR(INDEX('計測入力シート（ここのみ編集可）'!$BN$17:$BN$116,MATCH(A205&amp;B205,'計測入力シート（ここのみ編集可）'!$BO$17:$BO$116,0)),"")</f>
        <v/>
      </c>
      <c r="E206" s="276" t="str">
        <f t="array" ref="E206">IFERROR(INDEX('計測入力シート（ここのみ編集可）'!$BP$17:$BP$116,MATCH(A205&amp;B205,'計測入力シート（ここのみ編集可）'!$BO$17:$BO$116,0)),"")</f>
        <v/>
      </c>
      <c r="F206" s="277" t="str">
        <f t="array" ref="F206">IFERROR(INDEX('計測入力シート（ここのみ編集可）'!$BR$17:$BR$116,MATCH(A205&amp;B205,'計測入力シート（ここのみ編集可）'!$BO$17:$BO$116,0)),"")</f>
        <v/>
      </c>
      <c r="G206" s="278" t="str">
        <f t="array" ref="G206">IFERROR(INDEX('計測入力シート（ここのみ編集可）'!$BL$17:$BL$116,MATCH(A205&amp;B205,'計測入力シート（ここのみ編集可）'!$BO$17:$BO$116,0)),"")</f>
        <v/>
      </c>
      <c r="H206" s="279"/>
    </row>
    <row r="207" ht="27.0" customHeight="1">
      <c r="D207" s="280" t="s">
        <v>2</v>
      </c>
      <c r="E207" s="281" t="str">
        <f t="array" ref="E207">IFERROR(INDEX('計測入力シート（ここのみ編集可）'!$C$17:$C$116,MATCH(A205&amp;B205,'計測入力シート（ここのみ編集可）'!$BO$17:$BO$116,0)),"")</f>
        <v/>
      </c>
      <c r="F207" s="282" t="s">
        <v>17</v>
      </c>
      <c r="G207" s="283" t="str">
        <f t="array" ref="G207">IFERROR(INDEX('計測入力シート（ここのみ編集可）'!$D$17:$D$116,MATCH(A205&amp;B205,'計測入力シート（ここのみ編集可）'!$BO$17:$BO$116,0)),"")</f>
        <v/>
      </c>
      <c r="H207" s="284"/>
    </row>
    <row r="208" ht="27.0" customHeight="1">
      <c r="D208" s="285" t="s">
        <v>1</v>
      </c>
      <c r="E208" s="286" t="str">
        <f t="array" ref="E208">IFERROR(INDEX('計測入力シート（ここのみ編集可）'!$B$17:$B$116,MATCH(A205&amp;B205,'計測入力シート（ここのみ編集可）'!$BO$17:$BO$116,0)),"")</f>
        <v/>
      </c>
      <c r="F208" s="287" t="s">
        <v>18</v>
      </c>
      <c r="G208" s="288" t="str">
        <f t="array" ref="G208">IFERROR(INDEX('計測入力シート（ここのみ編集可）'!$E$17:$E$116,MATCH(A205&amp;B205,'計測入力シート（ここのみ編集可）'!$BO$17:$BO$116,0)),"")</f>
        <v/>
      </c>
      <c r="H208" s="289"/>
    </row>
    <row r="209" ht="24.75" customHeight="1">
      <c r="D209" s="290" t="s">
        <v>92</v>
      </c>
      <c r="E209" s="291" t="str">
        <f t="array" ref="E209">IFERROR(INDEX(#REF!,MATCH(A205&amp;B205,'計測入力シート（ここのみ編集可）'!$BO$17:$BO$116,0)),"")</f>
        <v/>
      </c>
      <c r="H209" s="232"/>
    </row>
    <row r="210" ht="52.5" customHeight="1">
      <c r="D210" s="292" t="s">
        <v>100</v>
      </c>
      <c r="E210" s="293" t="str">
        <f t="array" ref="E210">IFERROR(INDEX(#REF!,MATCH(A205&amp;B205,'計測入力シート（ここのみ編集可）'!$BO$17:$BO$116,0)),"")</f>
        <v/>
      </c>
      <c r="F210" s="95"/>
      <c r="G210" s="95"/>
      <c r="H210" s="96"/>
    </row>
    <row r="211" ht="20.25" customHeight="1">
      <c r="D211" s="294" t="s">
        <v>39</v>
      </c>
      <c r="E211" s="295" t="str">
        <f t="array" ref="E211">IFERROR(INDEX('計測入力シート（ここのみ編集可）'!$AW$17:$AW$116,MATCH(A205&amp;B205,'計測入力シート（ここのみ編集可）'!$BO$17:$BO$116,0)),"")</f>
        <v/>
      </c>
      <c r="F211" s="296"/>
      <c r="G211" s="297" t="s">
        <v>110</v>
      </c>
      <c r="H211" s="298" t="str">
        <f t="array" ref="H211">IFERROR(INDEX('計測入力シート（ここのみ編集可）'!$AY$17:$AY$116,MATCH(A205&amp;B205,'計測入力シート（ここのみ編集可）'!$BO$17:$BO$116,0)),"")</f>
        <v/>
      </c>
    </row>
    <row r="212" ht="20.25" customHeight="1">
      <c r="D212" s="299" t="s">
        <v>42</v>
      </c>
      <c r="E212" s="300" t="str">
        <f t="array" ref="E212">IFERROR(INDEX('計測入力シート（ここのみ編集可）'!$AZ$17:$AZ$116,MATCH(A205&amp;B205,'計測入力シート（ここのみ編集可）'!$BO$17:$BO$116,0)),"")</f>
        <v/>
      </c>
      <c r="F212" s="116"/>
      <c r="G212" s="301" t="s">
        <v>111</v>
      </c>
      <c r="H212" s="302" t="str">
        <f t="array" ref="H212">IFERROR(INDEX('計測入力シート（ここのみ編集可）'!$BB$17:$BB$116,MATCH(A205&amp;B205,'計測入力シート（ここのみ編集可）'!$BO$17:$BO$116,0)),"")</f>
        <v/>
      </c>
    </row>
    <row r="213" ht="20.25" customHeight="1">
      <c r="D213" s="303" t="s">
        <v>112</v>
      </c>
      <c r="E213" s="304" t="str">
        <f t="array" ref="E213">IFERROR(INDEX('計測入力シート（ここのみ編集可）'!$BC$17:$BC$116,MATCH(A205&amp;B205,'計測入力シート（ここのみ編集可）'!$BO$17:$BO$116,0)),"")</f>
        <v/>
      </c>
      <c r="F213" s="305"/>
      <c r="G213" s="306" t="s">
        <v>25</v>
      </c>
      <c r="H213" s="307" t="str">
        <f t="array" ref="H213">IFERROR(INDEX('計測入力シート（ここのみ編集可）'!$BD$17:$BD$116,MATCH(A205&amp;B205,'計測入力シート（ここのみ編集可）'!$BO$17:$BO$116,0)),"")</f>
        <v/>
      </c>
    </row>
    <row r="214" ht="20.25" customHeight="1">
      <c r="D214" s="308"/>
    </row>
    <row r="215" ht="27.0" customHeight="1">
      <c r="A215" s="52" t="str">
        <f>A205</f>
        <v>A</v>
      </c>
      <c r="B215" s="52">
        <f>B205+1</f>
        <v>22</v>
      </c>
      <c r="D215" s="271" t="s">
        <v>80</v>
      </c>
      <c r="E215" s="272" t="s">
        <v>81</v>
      </c>
      <c r="F215" s="272" t="s">
        <v>82</v>
      </c>
      <c r="G215" s="273" t="s">
        <v>49</v>
      </c>
      <c r="H215" s="274"/>
    </row>
    <row r="216" ht="27.0" customHeight="1">
      <c r="A216" s="86"/>
      <c r="B216" s="86"/>
      <c r="D216" s="275" t="str">
        <f t="array" ref="D216">IFERROR(INDEX('計測入力シート（ここのみ編集可）'!$BN$17:$BN$116,MATCH(A215&amp;B215,'計測入力シート（ここのみ編集可）'!$BO$17:$BO$116,0)),"")</f>
        <v/>
      </c>
      <c r="E216" s="276" t="str">
        <f t="array" ref="E216">IFERROR(INDEX('計測入力シート（ここのみ編集可）'!$BP$17:$BP$116,MATCH(A215&amp;B215,'計測入力シート（ここのみ編集可）'!$BO$17:$BO$116,0)),"")</f>
        <v/>
      </c>
      <c r="F216" s="277" t="str">
        <f t="array" ref="F216">IFERROR(INDEX('計測入力シート（ここのみ編集可）'!$BR$17:$BR$116,MATCH(A215&amp;B215,'計測入力シート（ここのみ編集可）'!$BO$17:$BO$116,0)),"")</f>
        <v/>
      </c>
      <c r="G216" s="278" t="str">
        <f t="array" ref="G216">IFERROR(INDEX('計測入力シート（ここのみ編集可）'!$BL$17:$BL$116,MATCH(A215&amp;B215,'計測入力シート（ここのみ編集可）'!$BO$17:$BO$116,0)),"")</f>
        <v/>
      </c>
      <c r="H216" s="279"/>
    </row>
    <row r="217" ht="27.0" customHeight="1">
      <c r="D217" s="280" t="s">
        <v>2</v>
      </c>
      <c r="E217" s="281" t="str">
        <f t="array" ref="E217">IFERROR(INDEX('計測入力シート（ここのみ編集可）'!$C$17:$C$116,MATCH(A215&amp;B215,'計測入力シート（ここのみ編集可）'!$BO$17:$BO$116,0)),"")</f>
        <v/>
      </c>
      <c r="F217" s="282" t="s">
        <v>17</v>
      </c>
      <c r="G217" s="283" t="str">
        <f t="array" ref="G217">IFERROR(INDEX('計測入力シート（ここのみ編集可）'!$D$17:$D$116,MATCH(A215&amp;B215,'計測入力シート（ここのみ編集可）'!$BO$17:$BO$116,0)),"")</f>
        <v/>
      </c>
      <c r="H217" s="284"/>
    </row>
    <row r="218" ht="27.0" customHeight="1">
      <c r="D218" s="285" t="s">
        <v>1</v>
      </c>
      <c r="E218" s="286" t="str">
        <f t="array" ref="E218">IFERROR(INDEX('計測入力シート（ここのみ編集可）'!$B$17:$B$116,MATCH(A215&amp;B215,'計測入力シート（ここのみ編集可）'!$BO$17:$BO$116,0)),"")</f>
        <v/>
      </c>
      <c r="F218" s="287" t="s">
        <v>18</v>
      </c>
      <c r="G218" s="288" t="str">
        <f t="array" ref="G218">IFERROR(INDEX('計測入力シート（ここのみ編集可）'!$E$17:$E$116,MATCH(A215&amp;B215,'計測入力シート（ここのみ編集可）'!$BO$17:$BO$116,0)),"")</f>
        <v/>
      </c>
      <c r="H218" s="289"/>
    </row>
    <row r="219" ht="24.75" customHeight="1">
      <c r="D219" s="290" t="s">
        <v>92</v>
      </c>
      <c r="E219" s="291" t="str">
        <f t="array" ref="E219">IFERROR(INDEX(#REF!,MATCH(A215&amp;B215,'計測入力シート（ここのみ編集可）'!$BO$17:$BO$116,0)),"")</f>
        <v/>
      </c>
      <c r="H219" s="232"/>
    </row>
    <row r="220" ht="52.5" customHeight="1">
      <c r="D220" s="292" t="s">
        <v>100</v>
      </c>
      <c r="E220" s="293" t="str">
        <f t="array" ref="E220">IFERROR(INDEX(#REF!,MATCH(A215&amp;B215,'計測入力シート（ここのみ編集可）'!$BO$17:$BO$116,0)),"")</f>
        <v/>
      </c>
      <c r="F220" s="95"/>
      <c r="G220" s="95"/>
      <c r="H220" s="96"/>
    </row>
    <row r="221" ht="20.25" customHeight="1">
      <c r="D221" s="294" t="s">
        <v>39</v>
      </c>
      <c r="E221" s="295" t="str">
        <f t="array" ref="E221">IFERROR(INDEX('計測入力シート（ここのみ編集可）'!$AW$17:$AW$116,MATCH(A215&amp;B215,'計測入力シート（ここのみ編集可）'!$BO$17:$BO$116,0)),"")</f>
        <v/>
      </c>
      <c r="F221" s="296"/>
      <c r="G221" s="297" t="s">
        <v>110</v>
      </c>
      <c r="H221" s="298" t="str">
        <f t="array" ref="H221">IFERROR(INDEX('計測入力シート（ここのみ編集可）'!$AY$17:$AY$116,MATCH(A215&amp;B215,'計測入力シート（ここのみ編集可）'!$BO$17:$BO$116,0)),"")</f>
        <v/>
      </c>
    </row>
    <row r="222" ht="20.25" customHeight="1">
      <c r="D222" s="299" t="s">
        <v>42</v>
      </c>
      <c r="E222" s="300" t="str">
        <f t="array" ref="E222">IFERROR(INDEX('計測入力シート（ここのみ編集可）'!$AZ$17:$AZ$116,MATCH(A215&amp;B215,'計測入力シート（ここのみ編集可）'!$BO$17:$BO$116,0)),"")</f>
        <v/>
      </c>
      <c r="F222" s="116"/>
      <c r="G222" s="301" t="s">
        <v>111</v>
      </c>
      <c r="H222" s="302" t="str">
        <f t="array" ref="H222">IFERROR(INDEX('計測入力シート（ここのみ編集可）'!$BB$17:$BB$116,MATCH(A215&amp;B215,'計測入力シート（ここのみ編集可）'!$BO$17:$BO$116,0)),"")</f>
        <v/>
      </c>
    </row>
    <row r="223" ht="20.25" customHeight="1">
      <c r="D223" s="303" t="s">
        <v>112</v>
      </c>
      <c r="E223" s="304" t="str">
        <f t="array" ref="E223">IFERROR(INDEX('計測入力シート（ここのみ編集可）'!$BC$17:$BC$116,MATCH(A215&amp;B215,'計測入力シート（ここのみ編集可）'!$BO$17:$BO$116,0)),"")</f>
        <v/>
      </c>
      <c r="F223" s="305"/>
      <c r="G223" s="306" t="s">
        <v>25</v>
      </c>
      <c r="H223" s="307" t="str">
        <f t="array" ref="H223">IFERROR(INDEX('計測入力シート（ここのみ編集可）'!$BD$17:$BD$116,MATCH(A215&amp;B215,'計測入力シート（ここのみ編集可）'!$BO$17:$BO$116,0)),"")</f>
        <v/>
      </c>
    </row>
    <row r="224" ht="20.25" customHeight="1">
      <c r="D224" s="308"/>
    </row>
    <row r="225" ht="27.0" customHeight="1">
      <c r="A225" s="52" t="str">
        <f>A215</f>
        <v>A</v>
      </c>
      <c r="B225" s="52">
        <f>B215+1</f>
        <v>23</v>
      </c>
      <c r="D225" s="271" t="s">
        <v>80</v>
      </c>
      <c r="E225" s="272" t="s">
        <v>81</v>
      </c>
      <c r="F225" s="272" t="s">
        <v>82</v>
      </c>
      <c r="G225" s="273" t="s">
        <v>49</v>
      </c>
      <c r="H225" s="274"/>
    </row>
    <row r="226" ht="27.0" customHeight="1">
      <c r="A226" s="86"/>
      <c r="B226" s="86"/>
      <c r="D226" s="275" t="str">
        <f t="array" ref="D226">IFERROR(INDEX('計測入力シート（ここのみ編集可）'!$BN$17:$BN$116,MATCH(A225&amp;B225,'計測入力シート（ここのみ編集可）'!$BO$17:$BO$116,0)),"")</f>
        <v/>
      </c>
      <c r="E226" s="276" t="str">
        <f t="array" ref="E226">IFERROR(INDEX('計測入力シート（ここのみ編集可）'!$BP$17:$BP$116,MATCH(A225&amp;B225,'計測入力シート（ここのみ編集可）'!$BO$17:$BO$116,0)),"")</f>
        <v/>
      </c>
      <c r="F226" s="277" t="str">
        <f t="array" ref="F226">IFERROR(INDEX('計測入力シート（ここのみ編集可）'!$BR$17:$BR$116,MATCH(A225&amp;B225,'計測入力シート（ここのみ編集可）'!$BO$17:$BO$116,0)),"")</f>
        <v/>
      </c>
      <c r="G226" s="278" t="str">
        <f t="array" ref="G226">IFERROR(INDEX('計測入力シート（ここのみ編集可）'!$BL$17:$BL$116,MATCH(A225&amp;B225,'計測入力シート（ここのみ編集可）'!$BO$17:$BO$116,0)),"")</f>
        <v/>
      </c>
      <c r="H226" s="279"/>
    </row>
    <row r="227" ht="27.0" customHeight="1">
      <c r="D227" s="280" t="s">
        <v>2</v>
      </c>
      <c r="E227" s="281" t="str">
        <f t="array" ref="E227">IFERROR(INDEX('計測入力シート（ここのみ編集可）'!$C$17:$C$116,MATCH(A225&amp;B225,'計測入力シート（ここのみ編集可）'!$BO$17:$BO$116,0)),"")</f>
        <v/>
      </c>
      <c r="F227" s="282" t="s">
        <v>17</v>
      </c>
      <c r="G227" s="283" t="str">
        <f t="array" ref="G227">IFERROR(INDEX('計測入力シート（ここのみ編集可）'!$D$17:$D$116,MATCH(A225&amp;B225,'計測入力シート（ここのみ編集可）'!$BO$17:$BO$116,0)),"")</f>
        <v/>
      </c>
      <c r="H227" s="284"/>
    </row>
    <row r="228" ht="27.0" customHeight="1">
      <c r="D228" s="285" t="s">
        <v>1</v>
      </c>
      <c r="E228" s="286" t="str">
        <f t="array" ref="E228">IFERROR(INDEX('計測入力シート（ここのみ編集可）'!$B$17:$B$116,MATCH(A225&amp;B225,'計測入力シート（ここのみ編集可）'!$BO$17:$BO$116,0)),"")</f>
        <v/>
      </c>
      <c r="F228" s="287" t="s">
        <v>18</v>
      </c>
      <c r="G228" s="288" t="str">
        <f t="array" ref="G228">IFERROR(INDEX('計測入力シート（ここのみ編集可）'!$E$17:$E$116,MATCH(A225&amp;B225,'計測入力シート（ここのみ編集可）'!$BO$17:$BO$116,0)),"")</f>
        <v/>
      </c>
      <c r="H228" s="289"/>
    </row>
    <row r="229" ht="24.75" customHeight="1">
      <c r="D229" s="290" t="s">
        <v>92</v>
      </c>
      <c r="E229" s="291" t="str">
        <f t="array" ref="E229">IFERROR(INDEX(#REF!,MATCH(A225&amp;B225,'計測入力シート（ここのみ編集可）'!$BO$17:$BO$116,0)),"")</f>
        <v/>
      </c>
      <c r="H229" s="232"/>
    </row>
    <row r="230" ht="52.5" customHeight="1">
      <c r="D230" s="292" t="s">
        <v>100</v>
      </c>
      <c r="E230" s="293" t="str">
        <f t="array" ref="E230">IFERROR(INDEX(#REF!,MATCH(A225&amp;B225,'計測入力シート（ここのみ編集可）'!$BO$17:$BO$116,0)),"")</f>
        <v/>
      </c>
      <c r="F230" s="95"/>
      <c r="G230" s="95"/>
      <c r="H230" s="96"/>
    </row>
    <row r="231" ht="20.25" customHeight="1">
      <c r="D231" s="294" t="s">
        <v>39</v>
      </c>
      <c r="E231" s="295" t="str">
        <f t="array" ref="E231">IFERROR(INDEX('計測入力シート（ここのみ編集可）'!$AW$17:$AW$116,MATCH(A225&amp;B225,'計測入力シート（ここのみ編集可）'!$BO$17:$BO$116,0)),"")</f>
        <v/>
      </c>
      <c r="F231" s="296"/>
      <c r="G231" s="297" t="s">
        <v>110</v>
      </c>
      <c r="H231" s="298" t="str">
        <f t="array" ref="H231">IFERROR(INDEX('計測入力シート（ここのみ編集可）'!$AY$17:$AY$116,MATCH(A225&amp;B225,'計測入力シート（ここのみ編集可）'!$BO$17:$BO$116,0)),"")</f>
        <v/>
      </c>
    </row>
    <row r="232" ht="20.25" customHeight="1">
      <c r="D232" s="299" t="s">
        <v>42</v>
      </c>
      <c r="E232" s="300" t="str">
        <f t="array" ref="E232">IFERROR(INDEX('計測入力シート（ここのみ編集可）'!$AZ$17:$AZ$116,MATCH(A225&amp;B225,'計測入力シート（ここのみ編集可）'!$BO$17:$BO$116,0)),"")</f>
        <v/>
      </c>
      <c r="F232" s="116"/>
      <c r="G232" s="301" t="s">
        <v>111</v>
      </c>
      <c r="H232" s="302" t="str">
        <f t="array" ref="H232">IFERROR(INDEX('計測入力シート（ここのみ編集可）'!$BB$17:$BB$116,MATCH(A225&amp;B225,'計測入力シート（ここのみ編集可）'!$BO$17:$BO$116,0)),"")</f>
        <v/>
      </c>
    </row>
    <row r="233" ht="20.25" customHeight="1">
      <c r="D233" s="303" t="s">
        <v>112</v>
      </c>
      <c r="E233" s="304" t="str">
        <f t="array" ref="E233">IFERROR(INDEX('計測入力シート（ここのみ編集可）'!$BC$17:$BC$116,MATCH(A225&amp;B225,'計測入力シート（ここのみ編集可）'!$BO$17:$BO$116,0)),"")</f>
        <v/>
      </c>
      <c r="F233" s="305"/>
      <c r="G233" s="306" t="s">
        <v>25</v>
      </c>
      <c r="H233" s="307" t="str">
        <f t="array" ref="H233">IFERROR(INDEX('計測入力シート（ここのみ編集可）'!$BD$17:$BD$116,MATCH(A225&amp;B225,'計測入力シート（ここのみ編集可）'!$BO$17:$BO$116,0)),"")</f>
        <v/>
      </c>
    </row>
    <row r="234" ht="20.25" customHeight="1">
      <c r="D234" s="308"/>
    </row>
    <row r="235" ht="27.0" customHeight="1">
      <c r="A235" s="52" t="str">
        <f>A225</f>
        <v>A</v>
      </c>
      <c r="B235" s="52">
        <f>B225+1</f>
        <v>24</v>
      </c>
      <c r="D235" s="271" t="s">
        <v>80</v>
      </c>
      <c r="E235" s="272" t="s">
        <v>81</v>
      </c>
      <c r="F235" s="272" t="s">
        <v>82</v>
      </c>
      <c r="G235" s="273" t="s">
        <v>49</v>
      </c>
      <c r="H235" s="274"/>
    </row>
    <row r="236" ht="27.0" customHeight="1">
      <c r="A236" s="86"/>
      <c r="B236" s="86"/>
      <c r="D236" s="275" t="str">
        <f t="array" ref="D236">IFERROR(INDEX('計測入力シート（ここのみ編集可）'!$BN$17:$BN$116,MATCH(A235&amp;B235,'計測入力シート（ここのみ編集可）'!$BO$17:$BO$116,0)),"")</f>
        <v/>
      </c>
      <c r="E236" s="276" t="str">
        <f t="array" ref="E236">IFERROR(INDEX('計測入力シート（ここのみ編集可）'!$BP$17:$BP$116,MATCH(A235&amp;B235,'計測入力シート（ここのみ編集可）'!$BO$17:$BO$116,0)),"")</f>
        <v/>
      </c>
      <c r="F236" s="277" t="str">
        <f t="array" ref="F236">IFERROR(INDEX('計測入力シート（ここのみ編集可）'!$BR$17:$BR$116,MATCH(A235&amp;B235,'計測入力シート（ここのみ編集可）'!$BO$17:$BO$116,0)),"")</f>
        <v/>
      </c>
      <c r="G236" s="278" t="str">
        <f t="array" ref="G236">IFERROR(INDEX('計測入力シート（ここのみ編集可）'!$BL$17:$BL$116,MATCH(A235&amp;B235,'計測入力シート（ここのみ編集可）'!$BO$17:$BO$116,0)),"")</f>
        <v/>
      </c>
      <c r="H236" s="279"/>
    </row>
    <row r="237" ht="27.0" customHeight="1">
      <c r="D237" s="280" t="s">
        <v>2</v>
      </c>
      <c r="E237" s="281" t="str">
        <f t="array" ref="E237">IFERROR(INDEX('計測入力シート（ここのみ編集可）'!$C$17:$C$116,MATCH(A235&amp;B235,'計測入力シート（ここのみ編集可）'!$BO$17:$BO$116,0)),"")</f>
        <v/>
      </c>
      <c r="F237" s="282" t="s">
        <v>17</v>
      </c>
      <c r="G237" s="283" t="str">
        <f t="array" ref="G237">IFERROR(INDEX('計測入力シート（ここのみ編集可）'!$D$17:$D$116,MATCH(A235&amp;B235,'計測入力シート（ここのみ編集可）'!$BO$17:$BO$116,0)),"")</f>
        <v/>
      </c>
      <c r="H237" s="284"/>
    </row>
    <row r="238" ht="27.0" customHeight="1">
      <c r="D238" s="285" t="s">
        <v>1</v>
      </c>
      <c r="E238" s="286" t="str">
        <f t="array" ref="E238">IFERROR(INDEX('計測入力シート（ここのみ編集可）'!$B$17:$B$116,MATCH(A235&amp;B235,'計測入力シート（ここのみ編集可）'!$BO$17:$BO$116,0)),"")</f>
        <v/>
      </c>
      <c r="F238" s="287" t="s">
        <v>18</v>
      </c>
      <c r="G238" s="288" t="str">
        <f t="array" ref="G238">IFERROR(INDEX('計測入力シート（ここのみ編集可）'!$E$17:$E$116,MATCH(A235&amp;B235,'計測入力シート（ここのみ編集可）'!$BO$17:$BO$116,0)),"")</f>
        <v/>
      </c>
      <c r="H238" s="289"/>
    </row>
    <row r="239" ht="24.75" customHeight="1">
      <c r="D239" s="290" t="s">
        <v>92</v>
      </c>
      <c r="E239" s="291" t="str">
        <f t="array" ref="E239">IFERROR(INDEX(#REF!,MATCH(A235&amp;B235,'計測入力シート（ここのみ編集可）'!$BO$17:$BO$116,0)),"")</f>
        <v/>
      </c>
      <c r="H239" s="232"/>
    </row>
    <row r="240" ht="52.5" customHeight="1">
      <c r="D240" s="292" t="s">
        <v>100</v>
      </c>
      <c r="E240" s="293" t="str">
        <f t="array" ref="E240">IFERROR(INDEX(#REF!,MATCH(A235&amp;B235,'計測入力シート（ここのみ編集可）'!$BO$17:$BO$116,0)),"")</f>
        <v/>
      </c>
      <c r="F240" s="95"/>
      <c r="G240" s="95"/>
      <c r="H240" s="96"/>
    </row>
    <row r="241" ht="20.25" customHeight="1">
      <c r="D241" s="294" t="s">
        <v>39</v>
      </c>
      <c r="E241" s="295" t="str">
        <f t="array" ref="E241">IFERROR(INDEX('計測入力シート（ここのみ編集可）'!$AW$17:$AW$116,MATCH(A235&amp;B235,'計測入力シート（ここのみ編集可）'!$BO$17:$BO$116,0)),"")</f>
        <v/>
      </c>
      <c r="F241" s="296"/>
      <c r="G241" s="297" t="s">
        <v>110</v>
      </c>
      <c r="H241" s="298" t="str">
        <f t="array" ref="H241">IFERROR(INDEX('計測入力シート（ここのみ編集可）'!$AY$17:$AY$116,MATCH(A235&amp;B235,'計測入力シート（ここのみ編集可）'!$BO$17:$BO$116,0)),"")</f>
        <v/>
      </c>
    </row>
    <row r="242" ht="20.25" customHeight="1">
      <c r="D242" s="299" t="s">
        <v>42</v>
      </c>
      <c r="E242" s="300" t="str">
        <f t="array" ref="E242">IFERROR(INDEX('計測入力シート（ここのみ編集可）'!$AZ$17:$AZ$116,MATCH(A235&amp;B235,'計測入力シート（ここのみ編集可）'!$BO$17:$BO$116,0)),"")</f>
        <v/>
      </c>
      <c r="F242" s="116"/>
      <c r="G242" s="301" t="s">
        <v>111</v>
      </c>
      <c r="H242" s="302" t="str">
        <f t="array" ref="H242">IFERROR(INDEX('計測入力シート（ここのみ編集可）'!$BB$17:$BB$116,MATCH(A235&amp;B235,'計測入力シート（ここのみ編集可）'!$BO$17:$BO$116,0)),"")</f>
        <v/>
      </c>
    </row>
    <row r="243" ht="20.25" customHeight="1">
      <c r="D243" s="303" t="s">
        <v>112</v>
      </c>
      <c r="E243" s="304" t="str">
        <f t="array" ref="E243">IFERROR(INDEX('計測入力シート（ここのみ編集可）'!$BC$17:$BC$116,MATCH(A235&amp;B235,'計測入力シート（ここのみ編集可）'!$BO$17:$BO$116,0)),"")</f>
        <v/>
      </c>
      <c r="F243" s="305"/>
      <c r="G243" s="306" t="s">
        <v>25</v>
      </c>
      <c r="H243" s="307" t="str">
        <f t="array" ref="H243">IFERROR(INDEX('計測入力シート（ここのみ編集可）'!$BD$17:$BD$116,MATCH(A235&amp;B235,'計測入力シート（ここのみ編集可）'!$BO$17:$BO$116,0)),"")</f>
        <v/>
      </c>
    </row>
    <row r="244" ht="20.25" customHeight="1">
      <c r="D244" s="308"/>
    </row>
    <row r="245" ht="27.0" customHeight="1">
      <c r="A245" s="52" t="str">
        <f>A235</f>
        <v>A</v>
      </c>
      <c r="B245" s="52">
        <f>B235+1</f>
        <v>25</v>
      </c>
      <c r="D245" s="271" t="s">
        <v>80</v>
      </c>
      <c r="E245" s="272" t="s">
        <v>81</v>
      </c>
      <c r="F245" s="272" t="s">
        <v>82</v>
      </c>
      <c r="G245" s="273" t="s">
        <v>49</v>
      </c>
      <c r="H245" s="274"/>
    </row>
    <row r="246" ht="27.0" customHeight="1">
      <c r="A246" s="86"/>
      <c r="B246" s="86"/>
      <c r="D246" s="275" t="str">
        <f t="array" ref="D246">IFERROR(INDEX('計測入力シート（ここのみ編集可）'!$BN$17:$BN$116,MATCH(A245&amp;B245,'計測入力シート（ここのみ編集可）'!$BO$17:$BO$116,0)),"")</f>
        <v/>
      </c>
      <c r="E246" s="276" t="str">
        <f t="array" ref="E246">IFERROR(INDEX('計測入力シート（ここのみ編集可）'!$BP$17:$BP$116,MATCH(A245&amp;B245,'計測入力シート（ここのみ編集可）'!$BO$17:$BO$116,0)),"")</f>
        <v/>
      </c>
      <c r="F246" s="277" t="str">
        <f t="array" ref="F246">IFERROR(INDEX('計測入力シート（ここのみ編集可）'!$BR$17:$BR$116,MATCH(A245&amp;B245,'計測入力シート（ここのみ編集可）'!$BO$17:$BO$116,0)),"")</f>
        <v/>
      </c>
      <c r="G246" s="278" t="str">
        <f t="array" ref="G246">IFERROR(INDEX('計測入力シート（ここのみ編集可）'!$BL$17:$BL$116,MATCH(A245&amp;B245,'計測入力シート（ここのみ編集可）'!$BO$17:$BO$116,0)),"")</f>
        <v/>
      </c>
      <c r="H246" s="279"/>
    </row>
    <row r="247" ht="27.0" customHeight="1">
      <c r="D247" s="280" t="s">
        <v>2</v>
      </c>
      <c r="E247" s="281" t="str">
        <f t="array" ref="E247">IFERROR(INDEX('計測入力シート（ここのみ編集可）'!$C$17:$C$116,MATCH(A245&amp;B245,'計測入力シート（ここのみ編集可）'!$BO$17:$BO$116,0)),"")</f>
        <v/>
      </c>
      <c r="F247" s="282" t="s">
        <v>17</v>
      </c>
      <c r="G247" s="283" t="str">
        <f t="array" ref="G247">IFERROR(INDEX('計測入力シート（ここのみ編集可）'!$D$17:$D$116,MATCH(A245&amp;B245,'計測入力シート（ここのみ編集可）'!$BO$17:$BO$116,0)),"")</f>
        <v/>
      </c>
      <c r="H247" s="284"/>
    </row>
    <row r="248" ht="27.0" customHeight="1">
      <c r="D248" s="285" t="s">
        <v>1</v>
      </c>
      <c r="E248" s="286" t="str">
        <f t="array" ref="E248">IFERROR(INDEX('計測入力シート（ここのみ編集可）'!$B$17:$B$116,MATCH(A245&amp;B245,'計測入力シート（ここのみ編集可）'!$BO$17:$BO$116,0)),"")</f>
        <v/>
      </c>
      <c r="F248" s="287" t="s">
        <v>18</v>
      </c>
      <c r="G248" s="288" t="str">
        <f t="array" ref="G248">IFERROR(INDEX('計測入力シート（ここのみ編集可）'!$E$17:$E$116,MATCH(A245&amp;B245,'計測入力シート（ここのみ編集可）'!$BO$17:$BO$116,0)),"")</f>
        <v/>
      </c>
      <c r="H248" s="289"/>
    </row>
    <row r="249" ht="24.75" customHeight="1">
      <c r="D249" s="290" t="s">
        <v>92</v>
      </c>
      <c r="E249" s="291" t="str">
        <f t="array" ref="E249">IFERROR(INDEX(#REF!,MATCH(A245&amp;B245,'計測入力シート（ここのみ編集可）'!$BO$17:$BO$116,0)),"")</f>
        <v/>
      </c>
      <c r="H249" s="232"/>
    </row>
    <row r="250" ht="52.5" customHeight="1">
      <c r="D250" s="292" t="s">
        <v>100</v>
      </c>
      <c r="E250" s="293" t="str">
        <f t="array" ref="E250">IFERROR(INDEX(#REF!,MATCH(A245&amp;B245,'計測入力シート（ここのみ編集可）'!$BO$17:$BO$116,0)),"")</f>
        <v/>
      </c>
      <c r="F250" s="95"/>
      <c r="G250" s="95"/>
      <c r="H250" s="96"/>
    </row>
    <row r="251" ht="20.25" customHeight="1">
      <c r="D251" s="294" t="s">
        <v>39</v>
      </c>
      <c r="E251" s="295" t="str">
        <f t="array" ref="E251">IFERROR(INDEX('計測入力シート（ここのみ編集可）'!$AW$17:$AW$116,MATCH(A245&amp;B245,'計測入力シート（ここのみ編集可）'!$BO$17:$BO$116,0)),"")</f>
        <v/>
      </c>
      <c r="F251" s="296"/>
      <c r="G251" s="297" t="s">
        <v>110</v>
      </c>
      <c r="H251" s="298" t="str">
        <f t="array" ref="H251">IFERROR(INDEX('計測入力シート（ここのみ編集可）'!$AY$17:$AY$116,MATCH(A245&amp;B245,'計測入力シート（ここのみ編集可）'!$BO$17:$BO$116,0)),"")</f>
        <v/>
      </c>
    </row>
    <row r="252" ht="20.25" customHeight="1">
      <c r="D252" s="299" t="s">
        <v>42</v>
      </c>
      <c r="E252" s="300" t="str">
        <f t="array" ref="E252">IFERROR(INDEX('計測入力シート（ここのみ編集可）'!$AZ$17:$AZ$116,MATCH(A245&amp;B245,'計測入力シート（ここのみ編集可）'!$BO$17:$BO$116,0)),"")</f>
        <v/>
      </c>
      <c r="F252" s="116"/>
      <c r="G252" s="301" t="s">
        <v>111</v>
      </c>
      <c r="H252" s="302" t="str">
        <f t="array" ref="H252">IFERROR(INDEX('計測入力シート（ここのみ編集可）'!$BB$17:$BB$116,MATCH(A245&amp;B245,'計測入力シート（ここのみ編集可）'!$BO$17:$BO$116,0)),"")</f>
        <v/>
      </c>
    </row>
    <row r="253" ht="20.25" customHeight="1">
      <c r="D253" s="303" t="s">
        <v>112</v>
      </c>
      <c r="E253" s="304" t="str">
        <f t="array" ref="E253">IFERROR(INDEX('計測入力シート（ここのみ編集可）'!$BC$17:$BC$116,MATCH(A245&amp;B245,'計測入力シート（ここのみ編集可）'!$BO$17:$BO$116,0)),"")</f>
        <v/>
      </c>
      <c r="F253" s="305"/>
      <c r="G253" s="306" t="s">
        <v>25</v>
      </c>
      <c r="H253" s="307" t="str">
        <f t="array" ref="H253">IFERROR(INDEX('計測入力シート（ここのみ編集可）'!$BD$17:$BD$116,MATCH(A245&amp;B245,'計測入力シート（ここのみ編集可）'!$BO$17:$BO$116,0)),"")</f>
        <v/>
      </c>
    </row>
    <row r="254" ht="20.25" customHeight="1">
      <c r="D254" s="308"/>
    </row>
    <row r="255" ht="27.0" customHeight="1">
      <c r="A255" s="52" t="str">
        <f>A245</f>
        <v>A</v>
      </c>
      <c r="B255" s="52">
        <f>B245+1</f>
        <v>26</v>
      </c>
      <c r="D255" s="271" t="s">
        <v>80</v>
      </c>
      <c r="E255" s="272" t="s">
        <v>81</v>
      </c>
      <c r="F255" s="272" t="s">
        <v>82</v>
      </c>
      <c r="G255" s="273" t="s">
        <v>49</v>
      </c>
      <c r="H255" s="274"/>
    </row>
    <row r="256" ht="27.0" customHeight="1">
      <c r="A256" s="86"/>
      <c r="B256" s="86"/>
      <c r="D256" s="275" t="str">
        <f t="array" ref="D256">IFERROR(INDEX('計測入力シート（ここのみ編集可）'!$BN$17:$BN$116,MATCH(A255&amp;B255,'計測入力シート（ここのみ編集可）'!$BO$17:$BO$116,0)),"")</f>
        <v/>
      </c>
      <c r="E256" s="276" t="str">
        <f t="array" ref="E256">IFERROR(INDEX('計測入力シート（ここのみ編集可）'!$BP$17:$BP$116,MATCH(A255&amp;B255,'計測入力シート（ここのみ編集可）'!$BO$17:$BO$116,0)),"")</f>
        <v/>
      </c>
      <c r="F256" s="277" t="str">
        <f t="array" ref="F256">IFERROR(INDEX('計測入力シート（ここのみ編集可）'!$BR$17:$BR$116,MATCH(A255&amp;B255,'計測入力シート（ここのみ編集可）'!$BO$17:$BO$116,0)),"")</f>
        <v/>
      </c>
      <c r="G256" s="278" t="str">
        <f t="array" ref="G256">IFERROR(INDEX('計測入力シート（ここのみ編集可）'!$BL$17:$BL$116,MATCH(A255&amp;B255,'計測入力シート（ここのみ編集可）'!$BO$17:$BO$116,0)),"")</f>
        <v/>
      </c>
      <c r="H256" s="279"/>
    </row>
    <row r="257" ht="27.0" customHeight="1">
      <c r="D257" s="280" t="s">
        <v>2</v>
      </c>
      <c r="E257" s="281" t="str">
        <f t="array" ref="E257">IFERROR(INDEX('計測入力シート（ここのみ編集可）'!$C$17:$C$116,MATCH(A255&amp;B255,'計測入力シート（ここのみ編集可）'!$BO$17:$BO$116,0)),"")</f>
        <v/>
      </c>
      <c r="F257" s="282" t="s">
        <v>17</v>
      </c>
      <c r="G257" s="283" t="str">
        <f t="array" ref="G257">IFERROR(INDEX('計測入力シート（ここのみ編集可）'!$D$17:$D$116,MATCH(A255&amp;B255,'計測入力シート（ここのみ編集可）'!$BO$17:$BO$116,0)),"")</f>
        <v/>
      </c>
      <c r="H257" s="284"/>
    </row>
    <row r="258" ht="27.0" customHeight="1">
      <c r="D258" s="285" t="s">
        <v>1</v>
      </c>
      <c r="E258" s="286" t="str">
        <f t="array" ref="E258">IFERROR(INDEX('計測入力シート（ここのみ編集可）'!$B$17:$B$116,MATCH(A255&amp;B255,'計測入力シート（ここのみ編集可）'!$BO$17:$BO$116,0)),"")</f>
        <v/>
      </c>
      <c r="F258" s="287" t="s">
        <v>18</v>
      </c>
      <c r="G258" s="288" t="str">
        <f t="array" ref="G258">IFERROR(INDEX('計測入力シート（ここのみ編集可）'!$E$17:$E$116,MATCH(A255&amp;B255,'計測入力シート（ここのみ編集可）'!$BO$17:$BO$116,0)),"")</f>
        <v/>
      </c>
      <c r="H258" s="289"/>
    </row>
    <row r="259" ht="24.75" customHeight="1">
      <c r="D259" s="290" t="s">
        <v>92</v>
      </c>
      <c r="E259" s="291" t="str">
        <f t="array" ref="E259">IFERROR(INDEX(#REF!,MATCH(A255&amp;B255,'計測入力シート（ここのみ編集可）'!$BO$17:$BO$116,0)),"")</f>
        <v/>
      </c>
      <c r="H259" s="232"/>
    </row>
    <row r="260" ht="52.5" customHeight="1">
      <c r="D260" s="292" t="s">
        <v>100</v>
      </c>
      <c r="E260" s="293" t="str">
        <f t="array" ref="E260">IFERROR(INDEX(#REF!,MATCH(A255&amp;B255,'計測入力シート（ここのみ編集可）'!$BO$17:$BO$116,0)),"")</f>
        <v/>
      </c>
      <c r="F260" s="95"/>
      <c r="G260" s="95"/>
      <c r="H260" s="96"/>
    </row>
    <row r="261" ht="20.25" customHeight="1">
      <c r="D261" s="294" t="s">
        <v>39</v>
      </c>
      <c r="E261" s="295" t="str">
        <f t="array" ref="E261">IFERROR(INDEX('計測入力シート（ここのみ編集可）'!$AW$17:$AW$116,MATCH(A255&amp;B255,'計測入力シート（ここのみ編集可）'!$BO$17:$BO$116,0)),"")</f>
        <v/>
      </c>
      <c r="F261" s="296"/>
      <c r="G261" s="297" t="s">
        <v>110</v>
      </c>
      <c r="H261" s="298" t="str">
        <f t="array" ref="H261">IFERROR(INDEX('計測入力シート（ここのみ編集可）'!$AY$17:$AY$116,MATCH(A255&amp;B255,'計測入力シート（ここのみ編集可）'!$BO$17:$BO$116,0)),"")</f>
        <v/>
      </c>
    </row>
    <row r="262" ht="20.25" customHeight="1">
      <c r="D262" s="299" t="s">
        <v>42</v>
      </c>
      <c r="E262" s="300" t="str">
        <f t="array" ref="E262">IFERROR(INDEX('計測入力シート（ここのみ編集可）'!$AZ$17:$AZ$116,MATCH(A255&amp;B255,'計測入力シート（ここのみ編集可）'!$BO$17:$BO$116,0)),"")</f>
        <v/>
      </c>
      <c r="F262" s="116"/>
      <c r="G262" s="301" t="s">
        <v>111</v>
      </c>
      <c r="H262" s="302" t="str">
        <f t="array" ref="H262">IFERROR(INDEX('計測入力シート（ここのみ編集可）'!$BB$17:$BB$116,MATCH(A255&amp;B255,'計測入力シート（ここのみ編集可）'!$BO$17:$BO$116,0)),"")</f>
        <v/>
      </c>
    </row>
    <row r="263" ht="20.25" customHeight="1">
      <c r="D263" s="303" t="s">
        <v>112</v>
      </c>
      <c r="E263" s="304" t="str">
        <f t="array" ref="E263">IFERROR(INDEX('計測入力シート（ここのみ編集可）'!$BC$17:$BC$116,MATCH(A255&amp;B255,'計測入力シート（ここのみ編集可）'!$BO$17:$BO$116,0)),"")</f>
        <v/>
      </c>
      <c r="F263" s="305"/>
      <c r="G263" s="306" t="s">
        <v>25</v>
      </c>
      <c r="H263" s="307" t="str">
        <f t="array" ref="H263">IFERROR(INDEX('計測入力シート（ここのみ編集可）'!$BD$17:$BD$116,MATCH(A255&amp;B255,'計測入力シート（ここのみ編集可）'!$BO$17:$BO$116,0)),"")</f>
        <v/>
      </c>
    </row>
    <row r="264" ht="20.25" customHeight="1">
      <c r="D264" s="308"/>
    </row>
    <row r="265" ht="27.0" customHeight="1">
      <c r="A265" s="52" t="str">
        <f>A255</f>
        <v>A</v>
      </c>
      <c r="B265" s="52">
        <f>B255+1</f>
        <v>27</v>
      </c>
      <c r="D265" s="271" t="s">
        <v>80</v>
      </c>
      <c r="E265" s="272" t="s">
        <v>81</v>
      </c>
      <c r="F265" s="272" t="s">
        <v>82</v>
      </c>
      <c r="G265" s="273" t="s">
        <v>49</v>
      </c>
      <c r="H265" s="274"/>
    </row>
    <row r="266" ht="27.0" customHeight="1">
      <c r="A266" s="86"/>
      <c r="B266" s="86"/>
      <c r="D266" s="275" t="str">
        <f t="array" ref="D266">IFERROR(INDEX('計測入力シート（ここのみ編集可）'!$BN$17:$BN$116,MATCH(A265&amp;B265,'計測入力シート（ここのみ編集可）'!$BO$17:$BO$116,0)),"")</f>
        <v/>
      </c>
      <c r="E266" s="276" t="str">
        <f t="array" ref="E266">IFERROR(INDEX('計測入力シート（ここのみ編集可）'!$BP$17:$BP$116,MATCH(A265&amp;B265,'計測入力シート（ここのみ編集可）'!$BO$17:$BO$116,0)),"")</f>
        <v/>
      </c>
      <c r="F266" s="277" t="str">
        <f t="array" ref="F266">IFERROR(INDEX('計測入力シート（ここのみ編集可）'!$BR$17:$BR$116,MATCH(A265&amp;B265,'計測入力シート（ここのみ編集可）'!$BO$17:$BO$116,0)),"")</f>
        <v/>
      </c>
      <c r="G266" s="278" t="str">
        <f t="array" ref="G266">IFERROR(INDEX('計測入力シート（ここのみ編集可）'!$BL$17:$BL$116,MATCH(A265&amp;B265,'計測入力シート（ここのみ編集可）'!$BO$17:$BO$116,0)),"")</f>
        <v/>
      </c>
      <c r="H266" s="279"/>
    </row>
    <row r="267" ht="27.0" customHeight="1">
      <c r="D267" s="280" t="s">
        <v>2</v>
      </c>
      <c r="E267" s="281" t="str">
        <f t="array" ref="E267">IFERROR(INDEX('計測入力シート（ここのみ編集可）'!$C$17:$C$116,MATCH(A265&amp;B265,'計測入力シート（ここのみ編集可）'!$BO$17:$BO$116,0)),"")</f>
        <v/>
      </c>
      <c r="F267" s="282" t="s">
        <v>17</v>
      </c>
      <c r="G267" s="283" t="str">
        <f t="array" ref="G267">IFERROR(INDEX('計測入力シート（ここのみ編集可）'!$D$17:$D$116,MATCH(A265&amp;B265,'計測入力シート（ここのみ編集可）'!$BO$17:$BO$116,0)),"")</f>
        <v/>
      </c>
      <c r="H267" s="284"/>
    </row>
    <row r="268" ht="27.0" customHeight="1">
      <c r="D268" s="285" t="s">
        <v>1</v>
      </c>
      <c r="E268" s="286" t="str">
        <f t="array" ref="E268">IFERROR(INDEX('計測入力シート（ここのみ編集可）'!$B$17:$B$116,MATCH(A265&amp;B265,'計測入力シート（ここのみ編集可）'!$BO$17:$BO$116,0)),"")</f>
        <v/>
      </c>
      <c r="F268" s="287" t="s">
        <v>18</v>
      </c>
      <c r="G268" s="288" t="str">
        <f t="array" ref="G268">IFERROR(INDEX('計測入力シート（ここのみ編集可）'!$E$17:$E$116,MATCH(A265&amp;B265,'計測入力シート（ここのみ編集可）'!$BO$17:$BO$116,0)),"")</f>
        <v/>
      </c>
      <c r="H268" s="289"/>
    </row>
    <row r="269" ht="24.75" customHeight="1">
      <c r="D269" s="290" t="s">
        <v>92</v>
      </c>
      <c r="E269" s="291" t="str">
        <f t="array" ref="E269">IFERROR(INDEX(#REF!,MATCH(A265&amp;B265,'計測入力シート（ここのみ編集可）'!$BO$17:$BO$116,0)),"")</f>
        <v/>
      </c>
      <c r="H269" s="232"/>
    </row>
    <row r="270" ht="52.5" customHeight="1">
      <c r="D270" s="292" t="s">
        <v>100</v>
      </c>
      <c r="E270" s="293" t="str">
        <f t="array" ref="E270">IFERROR(INDEX(#REF!,MATCH(A265&amp;B265,'計測入力シート（ここのみ編集可）'!$BO$17:$BO$116,0)),"")</f>
        <v/>
      </c>
      <c r="F270" s="95"/>
      <c r="G270" s="95"/>
      <c r="H270" s="96"/>
    </row>
    <row r="271" ht="20.25" customHeight="1">
      <c r="D271" s="294" t="s">
        <v>39</v>
      </c>
      <c r="E271" s="295" t="str">
        <f t="array" ref="E271">IFERROR(INDEX('計測入力シート（ここのみ編集可）'!$AW$17:$AW$116,MATCH(A265&amp;B265,'計測入力シート（ここのみ編集可）'!$BO$17:$BO$116,0)),"")</f>
        <v/>
      </c>
      <c r="F271" s="296"/>
      <c r="G271" s="297" t="s">
        <v>110</v>
      </c>
      <c r="H271" s="298" t="str">
        <f t="array" ref="H271">IFERROR(INDEX('計測入力シート（ここのみ編集可）'!$AY$17:$AY$116,MATCH(A265&amp;B265,'計測入力シート（ここのみ編集可）'!$BO$17:$BO$116,0)),"")</f>
        <v/>
      </c>
    </row>
    <row r="272" ht="20.25" customHeight="1">
      <c r="D272" s="299" t="s">
        <v>42</v>
      </c>
      <c r="E272" s="300" t="str">
        <f t="array" ref="E272">IFERROR(INDEX('計測入力シート（ここのみ編集可）'!$AZ$17:$AZ$116,MATCH(A265&amp;B265,'計測入力シート（ここのみ編集可）'!$BO$17:$BO$116,0)),"")</f>
        <v/>
      </c>
      <c r="F272" s="116"/>
      <c r="G272" s="301" t="s">
        <v>111</v>
      </c>
      <c r="H272" s="302" t="str">
        <f t="array" ref="H272">IFERROR(INDEX('計測入力シート（ここのみ編集可）'!$BB$17:$BB$116,MATCH(A265&amp;B265,'計測入力シート（ここのみ編集可）'!$BO$17:$BO$116,0)),"")</f>
        <v/>
      </c>
    </row>
    <row r="273" ht="20.25" customHeight="1">
      <c r="D273" s="303" t="s">
        <v>112</v>
      </c>
      <c r="E273" s="304" t="str">
        <f t="array" ref="E273">IFERROR(INDEX('計測入力シート（ここのみ編集可）'!$BC$17:$BC$116,MATCH(A265&amp;B265,'計測入力シート（ここのみ編集可）'!$BO$17:$BO$116,0)),"")</f>
        <v/>
      </c>
      <c r="F273" s="305"/>
      <c r="G273" s="306" t="s">
        <v>25</v>
      </c>
      <c r="H273" s="307" t="str">
        <f t="array" ref="H273">IFERROR(INDEX('計測入力シート（ここのみ編集可）'!$BD$17:$BD$116,MATCH(A265&amp;B265,'計測入力シート（ここのみ編集可）'!$BO$17:$BO$116,0)),"")</f>
        <v/>
      </c>
    </row>
    <row r="274" ht="20.25" customHeight="1">
      <c r="D274" s="308"/>
    </row>
    <row r="275" ht="27.0" customHeight="1">
      <c r="A275" s="52" t="str">
        <f>A265</f>
        <v>A</v>
      </c>
      <c r="B275" s="52">
        <f>B265+1</f>
        <v>28</v>
      </c>
      <c r="D275" s="271" t="s">
        <v>80</v>
      </c>
      <c r="E275" s="272" t="s">
        <v>81</v>
      </c>
      <c r="F275" s="272" t="s">
        <v>82</v>
      </c>
      <c r="G275" s="273" t="s">
        <v>49</v>
      </c>
      <c r="H275" s="274"/>
    </row>
    <row r="276" ht="27.0" customHeight="1">
      <c r="A276" s="86"/>
      <c r="B276" s="86"/>
      <c r="D276" s="275" t="str">
        <f t="array" ref="D276">IFERROR(INDEX('計測入力シート（ここのみ編集可）'!$BN$17:$BN$116,MATCH(A275&amp;B275,'計測入力シート（ここのみ編集可）'!$BO$17:$BO$116,0)),"")</f>
        <v/>
      </c>
      <c r="E276" s="276" t="str">
        <f t="array" ref="E276">IFERROR(INDEX('計測入力シート（ここのみ編集可）'!$BP$17:$BP$116,MATCH(A275&amp;B275,'計測入力シート（ここのみ編集可）'!$BO$17:$BO$116,0)),"")</f>
        <v/>
      </c>
      <c r="F276" s="277" t="str">
        <f t="array" ref="F276">IFERROR(INDEX('計測入力シート（ここのみ編集可）'!$BR$17:$BR$116,MATCH(A275&amp;B275,'計測入力シート（ここのみ編集可）'!$BO$17:$BO$116,0)),"")</f>
        <v/>
      </c>
      <c r="G276" s="278" t="str">
        <f t="array" ref="G276">IFERROR(INDEX('計測入力シート（ここのみ編集可）'!$BL$17:$BL$116,MATCH(A275&amp;B275,'計測入力シート（ここのみ編集可）'!$BO$17:$BO$116,0)),"")</f>
        <v/>
      </c>
      <c r="H276" s="279"/>
    </row>
    <row r="277" ht="27.0" customHeight="1">
      <c r="D277" s="280" t="s">
        <v>2</v>
      </c>
      <c r="E277" s="281" t="str">
        <f t="array" ref="E277">IFERROR(INDEX('計測入力シート（ここのみ編集可）'!$C$17:$C$116,MATCH(A275&amp;B275,'計測入力シート（ここのみ編集可）'!$BO$17:$BO$116,0)),"")</f>
        <v/>
      </c>
      <c r="F277" s="282" t="s">
        <v>17</v>
      </c>
      <c r="G277" s="283" t="str">
        <f t="array" ref="G277">IFERROR(INDEX('計測入力シート（ここのみ編集可）'!$D$17:$D$116,MATCH(A275&amp;B275,'計測入力シート（ここのみ編集可）'!$BO$17:$BO$116,0)),"")</f>
        <v/>
      </c>
      <c r="H277" s="284"/>
    </row>
    <row r="278" ht="27.0" customHeight="1">
      <c r="D278" s="285" t="s">
        <v>1</v>
      </c>
      <c r="E278" s="286" t="str">
        <f t="array" ref="E278">IFERROR(INDEX('計測入力シート（ここのみ編集可）'!$B$17:$B$116,MATCH(A275&amp;B275,'計測入力シート（ここのみ編集可）'!$BO$17:$BO$116,0)),"")</f>
        <v/>
      </c>
      <c r="F278" s="287" t="s">
        <v>18</v>
      </c>
      <c r="G278" s="288" t="str">
        <f t="array" ref="G278">IFERROR(INDEX('計測入力シート（ここのみ編集可）'!$E$17:$E$116,MATCH(A275&amp;B275,'計測入力シート（ここのみ編集可）'!$BO$17:$BO$116,0)),"")</f>
        <v/>
      </c>
      <c r="H278" s="289"/>
    </row>
    <row r="279" ht="24.75" customHeight="1">
      <c r="D279" s="290" t="s">
        <v>92</v>
      </c>
      <c r="E279" s="291" t="str">
        <f t="array" ref="E279">IFERROR(INDEX(#REF!,MATCH(A275&amp;B275,'計測入力シート（ここのみ編集可）'!$BO$17:$BO$116,0)),"")</f>
        <v/>
      </c>
      <c r="H279" s="232"/>
    </row>
    <row r="280" ht="52.5" customHeight="1">
      <c r="D280" s="292" t="s">
        <v>100</v>
      </c>
      <c r="E280" s="293" t="str">
        <f t="array" ref="E280">IFERROR(INDEX(#REF!,MATCH(A275&amp;B275,'計測入力シート（ここのみ編集可）'!$BO$17:$BO$116,0)),"")</f>
        <v/>
      </c>
      <c r="F280" s="95"/>
      <c r="G280" s="95"/>
      <c r="H280" s="96"/>
    </row>
    <row r="281" ht="20.25" customHeight="1">
      <c r="D281" s="294" t="s">
        <v>39</v>
      </c>
      <c r="E281" s="295" t="str">
        <f t="array" ref="E281">IFERROR(INDEX('計測入力シート（ここのみ編集可）'!$AW$17:$AW$116,MATCH(A275&amp;B275,'計測入力シート（ここのみ編集可）'!$BO$17:$BO$116,0)),"")</f>
        <v/>
      </c>
      <c r="F281" s="296"/>
      <c r="G281" s="297" t="s">
        <v>110</v>
      </c>
      <c r="H281" s="298" t="str">
        <f t="array" ref="H281">IFERROR(INDEX('計測入力シート（ここのみ編集可）'!$AY$17:$AY$116,MATCH(A275&amp;B275,'計測入力シート（ここのみ編集可）'!$BO$17:$BO$116,0)),"")</f>
        <v/>
      </c>
    </row>
    <row r="282" ht="20.25" customHeight="1">
      <c r="D282" s="299" t="s">
        <v>42</v>
      </c>
      <c r="E282" s="300" t="str">
        <f t="array" ref="E282">IFERROR(INDEX('計測入力シート（ここのみ編集可）'!$AZ$17:$AZ$116,MATCH(A275&amp;B275,'計測入力シート（ここのみ編集可）'!$BO$17:$BO$116,0)),"")</f>
        <v/>
      </c>
      <c r="F282" s="116"/>
      <c r="G282" s="301" t="s">
        <v>111</v>
      </c>
      <c r="H282" s="302" t="str">
        <f t="array" ref="H282">IFERROR(INDEX('計測入力シート（ここのみ編集可）'!$BB$17:$BB$116,MATCH(A275&amp;B275,'計測入力シート（ここのみ編集可）'!$BO$17:$BO$116,0)),"")</f>
        <v/>
      </c>
    </row>
    <row r="283" ht="20.25" customHeight="1">
      <c r="D283" s="303" t="s">
        <v>112</v>
      </c>
      <c r="E283" s="304" t="str">
        <f t="array" ref="E283">IFERROR(INDEX('計測入力シート（ここのみ編集可）'!$BC$17:$BC$116,MATCH(A275&amp;B275,'計測入力シート（ここのみ編集可）'!$BO$17:$BO$116,0)),"")</f>
        <v/>
      </c>
      <c r="F283" s="305"/>
      <c r="G283" s="306" t="s">
        <v>25</v>
      </c>
      <c r="H283" s="307" t="str">
        <f t="array" ref="H283">IFERROR(INDEX('計測入力シート（ここのみ編集可）'!$BD$17:$BD$116,MATCH(A275&amp;B275,'計測入力シート（ここのみ編集可）'!$BO$17:$BO$116,0)),"")</f>
        <v/>
      </c>
    </row>
    <row r="284" ht="20.25" customHeight="1">
      <c r="D284" s="308"/>
    </row>
    <row r="285" ht="27.0" customHeight="1">
      <c r="A285" s="52" t="str">
        <f>A275</f>
        <v>A</v>
      </c>
      <c r="B285" s="52">
        <f>B275+1</f>
        <v>29</v>
      </c>
      <c r="D285" s="271" t="s">
        <v>80</v>
      </c>
      <c r="E285" s="272" t="s">
        <v>81</v>
      </c>
      <c r="F285" s="272" t="s">
        <v>82</v>
      </c>
      <c r="G285" s="273" t="s">
        <v>49</v>
      </c>
      <c r="H285" s="274"/>
    </row>
    <row r="286" ht="27.0" customHeight="1">
      <c r="A286" s="86"/>
      <c r="B286" s="86"/>
      <c r="D286" s="275" t="str">
        <f t="array" ref="D286">IFERROR(INDEX('計測入力シート（ここのみ編集可）'!$BN$17:$BN$116,MATCH(A285&amp;B285,'計測入力シート（ここのみ編集可）'!$BO$17:$BO$116,0)),"")</f>
        <v/>
      </c>
      <c r="E286" s="276" t="str">
        <f t="array" ref="E286">IFERROR(INDEX('計測入力シート（ここのみ編集可）'!$BP$17:$BP$116,MATCH(A285&amp;B285,'計測入力シート（ここのみ編集可）'!$BO$17:$BO$116,0)),"")</f>
        <v/>
      </c>
      <c r="F286" s="277" t="str">
        <f t="array" ref="F286">IFERROR(INDEX('計測入力シート（ここのみ編集可）'!$BR$17:$BR$116,MATCH(A285&amp;B285,'計測入力シート（ここのみ編集可）'!$BO$17:$BO$116,0)),"")</f>
        <v/>
      </c>
      <c r="G286" s="278" t="str">
        <f t="array" ref="G286">IFERROR(INDEX('計測入力シート（ここのみ編集可）'!$BL$17:$BL$116,MATCH(A285&amp;B285,'計測入力シート（ここのみ編集可）'!$BO$17:$BO$116,0)),"")</f>
        <v/>
      </c>
      <c r="H286" s="279"/>
    </row>
    <row r="287" ht="27.0" customHeight="1">
      <c r="D287" s="280" t="s">
        <v>2</v>
      </c>
      <c r="E287" s="281" t="str">
        <f t="array" ref="E287">IFERROR(INDEX('計測入力シート（ここのみ編集可）'!$C$17:$C$116,MATCH(A285&amp;B285,'計測入力シート（ここのみ編集可）'!$BO$17:$BO$116,0)),"")</f>
        <v/>
      </c>
      <c r="F287" s="282" t="s">
        <v>17</v>
      </c>
      <c r="G287" s="283" t="str">
        <f t="array" ref="G287">IFERROR(INDEX('計測入力シート（ここのみ編集可）'!$D$17:$D$116,MATCH(A285&amp;B285,'計測入力シート（ここのみ編集可）'!$BO$17:$BO$116,0)),"")</f>
        <v/>
      </c>
      <c r="H287" s="284"/>
    </row>
    <row r="288" ht="27.0" customHeight="1">
      <c r="D288" s="285" t="s">
        <v>1</v>
      </c>
      <c r="E288" s="286" t="str">
        <f t="array" ref="E288">IFERROR(INDEX('計測入力シート（ここのみ編集可）'!$B$17:$B$116,MATCH(A285&amp;B285,'計測入力シート（ここのみ編集可）'!$BO$17:$BO$116,0)),"")</f>
        <v/>
      </c>
      <c r="F288" s="287" t="s">
        <v>18</v>
      </c>
      <c r="G288" s="288" t="str">
        <f t="array" ref="G288">IFERROR(INDEX('計測入力シート（ここのみ編集可）'!$E$17:$E$116,MATCH(A285&amp;B285,'計測入力シート（ここのみ編集可）'!$BO$17:$BO$116,0)),"")</f>
        <v/>
      </c>
      <c r="H288" s="289"/>
    </row>
    <row r="289" ht="24.75" customHeight="1">
      <c r="D289" s="290" t="s">
        <v>92</v>
      </c>
      <c r="E289" s="291" t="str">
        <f t="array" ref="E289">IFERROR(INDEX(#REF!,MATCH(A285&amp;B285,'計測入力シート（ここのみ編集可）'!$BO$17:$BO$116,0)),"")</f>
        <v/>
      </c>
      <c r="H289" s="232"/>
    </row>
    <row r="290" ht="52.5" customHeight="1">
      <c r="D290" s="292" t="s">
        <v>100</v>
      </c>
      <c r="E290" s="293" t="str">
        <f t="array" ref="E290">IFERROR(INDEX(#REF!,MATCH(A285&amp;B285,'計測入力シート（ここのみ編集可）'!$BO$17:$BO$116,0)),"")</f>
        <v/>
      </c>
      <c r="F290" s="95"/>
      <c r="G290" s="95"/>
      <c r="H290" s="96"/>
    </row>
    <row r="291" ht="20.25" customHeight="1">
      <c r="D291" s="294" t="s">
        <v>39</v>
      </c>
      <c r="E291" s="295" t="str">
        <f t="array" ref="E291">IFERROR(INDEX('計測入力シート（ここのみ編集可）'!$AW$17:$AW$116,MATCH(A285&amp;B285,'計測入力シート（ここのみ編集可）'!$BO$17:$BO$116,0)),"")</f>
        <v/>
      </c>
      <c r="F291" s="296"/>
      <c r="G291" s="297" t="s">
        <v>110</v>
      </c>
      <c r="H291" s="298" t="str">
        <f t="array" ref="H291">IFERROR(INDEX('計測入力シート（ここのみ編集可）'!$AY$17:$AY$116,MATCH(A285&amp;B285,'計測入力シート（ここのみ編集可）'!$BO$17:$BO$116,0)),"")</f>
        <v/>
      </c>
    </row>
    <row r="292" ht="20.25" customHeight="1">
      <c r="D292" s="299" t="s">
        <v>42</v>
      </c>
      <c r="E292" s="300" t="str">
        <f t="array" ref="E292">IFERROR(INDEX('計測入力シート（ここのみ編集可）'!$AZ$17:$AZ$116,MATCH(A285&amp;B285,'計測入力シート（ここのみ編集可）'!$BO$17:$BO$116,0)),"")</f>
        <v/>
      </c>
      <c r="F292" s="116"/>
      <c r="G292" s="301" t="s">
        <v>111</v>
      </c>
      <c r="H292" s="302" t="str">
        <f t="array" ref="H292">IFERROR(INDEX('計測入力シート（ここのみ編集可）'!$BB$17:$BB$116,MATCH(A285&amp;B285,'計測入力シート（ここのみ編集可）'!$BO$17:$BO$116,0)),"")</f>
        <v/>
      </c>
    </row>
    <row r="293" ht="20.25" customHeight="1">
      <c r="D293" s="303" t="s">
        <v>112</v>
      </c>
      <c r="E293" s="304" t="str">
        <f t="array" ref="E293">IFERROR(INDEX('計測入力シート（ここのみ編集可）'!$BC$17:$BC$116,MATCH(A285&amp;B285,'計測入力シート（ここのみ編集可）'!$BO$17:$BO$116,0)),"")</f>
        <v/>
      </c>
      <c r="F293" s="305"/>
      <c r="G293" s="306" t="s">
        <v>25</v>
      </c>
      <c r="H293" s="307" t="str">
        <f t="array" ref="H293">IFERROR(INDEX('計測入力シート（ここのみ編集可）'!$BD$17:$BD$116,MATCH(A285&amp;B285,'計測入力シート（ここのみ編集可）'!$BO$17:$BO$116,0)),"")</f>
        <v/>
      </c>
    </row>
    <row r="294" ht="20.25" customHeight="1">
      <c r="D294" s="308"/>
    </row>
    <row r="295" ht="27.0" customHeight="1">
      <c r="A295" s="52" t="str">
        <f>A285</f>
        <v>A</v>
      </c>
      <c r="B295" s="52">
        <f>B285+1</f>
        <v>30</v>
      </c>
      <c r="D295" s="271" t="s">
        <v>80</v>
      </c>
      <c r="E295" s="272" t="s">
        <v>81</v>
      </c>
      <c r="F295" s="272" t="s">
        <v>82</v>
      </c>
      <c r="G295" s="273" t="s">
        <v>49</v>
      </c>
      <c r="H295" s="274"/>
    </row>
    <row r="296" ht="27.0" customHeight="1">
      <c r="A296" s="86"/>
      <c r="B296" s="86"/>
      <c r="D296" s="275" t="str">
        <f t="array" ref="D296">IFERROR(INDEX('計測入力シート（ここのみ編集可）'!$BN$17:$BN$116,MATCH(A295&amp;B295,'計測入力シート（ここのみ編集可）'!$BO$17:$BO$116,0)),"")</f>
        <v/>
      </c>
      <c r="E296" s="276" t="str">
        <f t="array" ref="E296">IFERROR(INDEX('計測入力シート（ここのみ編集可）'!$BP$17:$BP$116,MATCH(A295&amp;B295,'計測入力シート（ここのみ編集可）'!$BO$17:$BO$116,0)),"")</f>
        <v/>
      </c>
      <c r="F296" s="277" t="str">
        <f t="array" ref="F296">IFERROR(INDEX('計測入力シート（ここのみ編集可）'!$BR$17:$BR$116,MATCH(A295&amp;B295,'計測入力シート（ここのみ編集可）'!$BO$17:$BO$116,0)),"")</f>
        <v/>
      </c>
      <c r="G296" s="278" t="str">
        <f t="array" ref="G296">IFERROR(INDEX('計測入力シート（ここのみ編集可）'!$BL$17:$BL$116,MATCH(A295&amp;B295,'計測入力シート（ここのみ編集可）'!$BO$17:$BO$116,0)),"")</f>
        <v/>
      </c>
      <c r="H296" s="279"/>
    </row>
    <row r="297" ht="27.0" customHeight="1">
      <c r="D297" s="280" t="s">
        <v>2</v>
      </c>
      <c r="E297" s="281" t="str">
        <f t="array" ref="E297">IFERROR(INDEX('計測入力シート（ここのみ編集可）'!$C$17:$C$116,MATCH(A295&amp;B295,'計測入力シート（ここのみ編集可）'!$BO$17:$BO$116,0)),"")</f>
        <v/>
      </c>
      <c r="F297" s="282" t="s">
        <v>17</v>
      </c>
      <c r="G297" s="283" t="str">
        <f t="array" ref="G297">IFERROR(INDEX('計測入力シート（ここのみ編集可）'!$D$17:$D$116,MATCH(A295&amp;B295,'計測入力シート（ここのみ編集可）'!$BO$17:$BO$116,0)),"")</f>
        <v/>
      </c>
      <c r="H297" s="284"/>
    </row>
    <row r="298" ht="27.0" customHeight="1">
      <c r="D298" s="285" t="s">
        <v>1</v>
      </c>
      <c r="E298" s="286" t="str">
        <f t="array" ref="E298">IFERROR(INDEX('計測入力シート（ここのみ編集可）'!$B$17:$B$116,MATCH(A295&amp;B295,'計測入力シート（ここのみ編集可）'!$BO$17:$BO$116,0)),"")</f>
        <v/>
      </c>
      <c r="F298" s="287" t="s">
        <v>18</v>
      </c>
      <c r="G298" s="288" t="str">
        <f t="array" ref="G298">IFERROR(INDEX('計測入力シート（ここのみ編集可）'!$E$17:$E$116,MATCH(A295&amp;B295,'計測入力シート（ここのみ編集可）'!$BO$17:$BO$116,0)),"")</f>
        <v/>
      </c>
      <c r="H298" s="289"/>
    </row>
    <row r="299" ht="24.75" customHeight="1">
      <c r="D299" s="290" t="s">
        <v>92</v>
      </c>
      <c r="E299" s="291" t="str">
        <f t="array" ref="E299">IFERROR(INDEX(#REF!,MATCH(A295&amp;B295,'計測入力シート（ここのみ編集可）'!$BO$17:$BO$116,0)),"")</f>
        <v/>
      </c>
      <c r="H299" s="232"/>
    </row>
    <row r="300" ht="52.5" customHeight="1">
      <c r="D300" s="292" t="s">
        <v>100</v>
      </c>
      <c r="E300" s="293" t="str">
        <f t="array" ref="E300">IFERROR(INDEX(#REF!,MATCH(A295&amp;B295,'計測入力シート（ここのみ編集可）'!$BO$17:$BO$116,0)),"")</f>
        <v/>
      </c>
      <c r="F300" s="95"/>
      <c r="G300" s="95"/>
      <c r="H300" s="96"/>
    </row>
    <row r="301" ht="20.25" customHeight="1">
      <c r="D301" s="294" t="s">
        <v>39</v>
      </c>
      <c r="E301" s="295" t="str">
        <f t="array" ref="E301">IFERROR(INDEX('計測入力シート（ここのみ編集可）'!$AW$17:$AW$116,MATCH(A295&amp;B295,'計測入力シート（ここのみ編集可）'!$BO$17:$BO$116,0)),"")</f>
        <v/>
      </c>
      <c r="F301" s="296"/>
      <c r="G301" s="297" t="s">
        <v>110</v>
      </c>
      <c r="H301" s="298" t="str">
        <f t="array" ref="H301">IFERROR(INDEX('計測入力シート（ここのみ編集可）'!$AY$17:$AY$116,MATCH(A295&amp;B295,'計測入力シート（ここのみ編集可）'!$BO$17:$BO$116,0)),"")</f>
        <v/>
      </c>
    </row>
    <row r="302" ht="20.25" customHeight="1">
      <c r="D302" s="299" t="s">
        <v>42</v>
      </c>
      <c r="E302" s="300" t="str">
        <f t="array" ref="E302">IFERROR(INDEX('計測入力シート（ここのみ編集可）'!$AZ$17:$AZ$116,MATCH(A295&amp;B295,'計測入力シート（ここのみ編集可）'!$BO$17:$BO$116,0)),"")</f>
        <v/>
      </c>
      <c r="F302" s="116"/>
      <c r="G302" s="301" t="s">
        <v>111</v>
      </c>
      <c r="H302" s="302" t="str">
        <f t="array" ref="H302">IFERROR(INDEX('計測入力シート（ここのみ編集可）'!$BB$17:$BB$116,MATCH(A295&amp;B295,'計測入力シート（ここのみ編集可）'!$BO$17:$BO$116,0)),"")</f>
        <v/>
      </c>
    </row>
    <row r="303" ht="20.25" customHeight="1">
      <c r="D303" s="303" t="s">
        <v>112</v>
      </c>
      <c r="E303" s="304" t="str">
        <f t="array" ref="E303">IFERROR(INDEX('計測入力シート（ここのみ編集可）'!$BC$17:$BC$116,MATCH(A295&amp;B295,'計測入力シート（ここのみ編集可）'!$BO$17:$BO$116,0)),"")</f>
        <v/>
      </c>
      <c r="F303" s="305"/>
      <c r="G303" s="306" t="s">
        <v>25</v>
      </c>
      <c r="H303" s="307" t="str">
        <f t="array" ref="H303">IFERROR(INDEX('計測入力シート（ここのみ編集可）'!$BD$17:$BD$116,MATCH(A295&amp;B295,'計測入力シート（ここのみ編集可）'!$BO$17:$BO$116,0)),"")</f>
        <v/>
      </c>
    </row>
    <row r="304">
      <c r="D304" s="309"/>
      <c r="E304" s="309"/>
      <c r="F304" s="309"/>
      <c r="G304" s="309"/>
      <c r="H304" s="309"/>
    </row>
    <row r="305">
      <c r="D305" s="309"/>
      <c r="E305" s="309"/>
      <c r="F305" s="309"/>
      <c r="G305" s="309"/>
      <c r="H305" s="309"/>
    </row>
    <row r="306">
      <c r="D306" s="309"/>
      <c r="E306" s="309"/>
      <c r="F306" s="309"/>
      <c r="G306" s="309"/>
      <c r="H306" s="309"/>
    </row>
    <row r="307">
      <c r="D307" s="309"/>
      <c r="E307" s="309"/>
      <c r="F307" s="309"/>
      <c r="G307" s="309"/>
      <c r="H307" s="309"/>
    </row>
    <row r="308">
      <c r="D308" s="309"/>
      <c r="E308" s="309"/>
      <c r="F308" s="309"/>
      <c r="G308" s="309"/>
      <c r="H308" s="309"/>
    </row>
    <row r="309">
      <c r="D309" s="309"/>
      <c r="E309" s="309"/>
      <c r="F309" s="309"/>
      <c r="G309" s="309"/>
      <c r="H309" s="309"/>
    </row>
    <row r="310">
      <c r="D310" s="309"/>
      <c r="E310" s="309"/>
      <c r="F310" s="309"/>
      <c r="G310" s="309"/>
      <c r="H310" s="309"/>
    </row>
    <row r="311">
      <c r="D311" s="309"/>
      <c r="E311" s="309"/>
      <c r="F311" s="309"/>
      <c r="G311" s="309"/>
      <c r="H311" s="309"/>
    </row>
    <row r="312">
      <c r="D312" s="309"/>
      <c r="E312" s="309"/>
      <c r="F312" s="309"/>
      <c r="G312" s="309"/>
      <c r="H312" s="309"/>
    </row>
    <row r="313">
      <c r="D313" s="309"/>
      <c r="E313" s="309"/>
      <c r="F313" s="309"/>
      <c r="G313" s="309"/>
      <c r="H313" s="309"/>
    </row>
    <row r="314">
      <c r="D314" s="309"/>
      <c r="E314" s="309"/>
      <c r="F314" s="309"/>
      <c r="G314" s="309"/>
      <c r="H314" s="309"/>
    </row>
    <row r="315">
      <c r="D315" s="309"/>
      <c r="E315" s="309"/>
      <c r="F315" s="309"/>
      <c r="G315" s="309"/>
      <c r="H315" s="309"/>
    </row>
    <row r="316">
      <c r="D316" s="309"/>
      <c r="E316" s="309"/>
      <c r="F316" s="309"/>
      <c r="G316" s="309"/>
      <c r="H316" s="309"/>
    </row>
    <row r="317">
      <c r="D317" s="309"/>
      <c r="E317" s="309"/>
      <c r="F317" s="309"/>
      <c r="G317" s="309"/>
      <c r="H317" s="309"/>
    </row>
    <row r="318">
      <c r="D318" s="309"/>
      <c r="E318" s="309"/>
      <c r="F318" s="309"/>
      <c r="G318" s="309"/>
      <c r="H318" s="309"/>
    </row>
    <row r="319">
      <c r="D319" s="309"/>
      <c r="E319" s="309"/>
      <c r="F319" s="309"/>
      <c r="G319" s="309"/>
      <c r="H319" s="309"/>
    </row>
    <row r="320">
      <c r="D320" s="309"/>
      <c r="E320" s="309"/>
      <c r="F320" s="309"/>
      <c r="G320" s="309"/>
      <c r="H320" s="309"/>
    </row>
    <row r="321">
      <c r="D321" s="309"/>
      <c r="E321" s="309"/>
      <c r="F321" s="309"/>
      <c r="G321" s="309"/>
      <c r="H321" s="309"/>
      <c r="I321" s="309"/>
    </row>
    <row r="322">
      <c r="D322" s="309"/>
      <c r="E322" s="309"/>
      <c r="F322" s="309"/>
      <c r="G322" s="309"/>
      <c r="H322" s="309"/>
      <c r="I322" s="309"/>
    </row>
    <row r="323">
      <c r="D323" s="309"/>
      <c r="E323" s="309"/>
      <c r="F323" s="309"/>
      <c r="G323" s="309"/>
      <c r="H323" s="309"/>
      <c r="I323" s="309"/>
    </row>
    <row r="324">
      <c r="D324" s="309"/>
      <c r="E324" s="309"/>
      <c r="F324" s="309"/>
      <c r="G324" s="309"/>
      <c r="H324" s="309"/>
      <c r="I324" s="309"/>
    </row>
    <row r="325">
      <c r="D325" s="309"/>
      <c r="E325" s="309"/>
      <c r="F325" s="309"/>
      <c r="G325" s="309"/>
      <c r="H325" s="309"/>
      <c r="I325" s="309"/>
    </row>
    <row r="326">
      <c r="D326" s="309"/>
      <c r="E326" s="309"/>
      <c r="F326" s="309"/>
      <c r="G326" s="309"/>
      <c r="H326" s="309"/>
      <c r="I326" s="309"/>
    </row>
    <row r="327">
      <c r="D327" s="309"/>
      <c r="E327" s="309"/>
      <c r="F327" s="309"/>
      <c r="G327" s="309"/>
      <c r="H327" s="309"/>
      <c r="I327" s="309"/>
    </row>
    <row r="328">
      <c r="D328" s="309"/>
      <c r="E328" s="309"/>
      <c r="F328" s="309"/>
      <c r="G328" s="309"/>
      <c r="H328" s="309"/>
      <c r="I328" s="309"/>
    </row>
    <row r="329">
      <c r="D329" s="309"/>
      <c r="E329" s="309"/>
      <c r="F329" s="309"/>
      <c r="G329" s="309"/>
      <c r="H329" s="309"/>
      <c r="I329" s="309"/>
    </row>
    <row r="330">
      <c r="D330" s="309"/>
      <c r="E330" s="309"/>
      <c r="F330" s="309"/>
      <c r="G330" s="309"/>
      <c r="H330" s="309"/>
      <c r="I330" s="309"/>
    </row>
    <row r="331">
      <c r="D331" s="309"/>
      <c r="E331" s="309"/>
      <c r="F331" s="309"/>
      <c r="G331" s="309"/>
      <c r="H331" s="309"/>
      <c r="I331" s="309"/>
    </row>
    <row r="332">
      <c r="D332" s="309"/>
      <c r="E332" s="309"/>
      <c r="F332" s="309"/>
      <c r="G332" s="309"/>
      <c r="H332" s="309"/>
      <c r="I332" s="309"/>
    </row>
    <row r="333">
      <c r="D333" s="309"/>
      <c r="E333" s="309"/>
      <c r="F333" s="309"/>
      <c r="G333" s="309"/>
      <c r="H333" s="309"/>
      <c r="I333" s="309"/>
    </row>
    <row r="334">
      <c r="D334" s="309"/>
      <c r="E334" s="309"/>
      <c r="F334" s="309"/>
      <c r="G334" s="309"/>
      <c r="H334" s="309"/>
      <c r="I334" s="309"/>
    </row>
    <row r="335">
      <c r="D335" s="309"/>
      <c r="E335" s="309"/>
      <c r="F335" s="309"/>
      <c r="G335" s="309"/>
      <c r="H335" s="309"/>
      <c r="I335" s="309"/>
    </row>
    <row r="336">
      <c r="D336" s="309"/>
      <c r="E336" s="309"/>
      <c r="F336" s="309"/>
      <c r="G336" s="309"/>
      <c r="H336" s="309"/>
      <c r="I336" s="309"/>
    </row>
    <row r="337">
      <c r="D337" s="309"/>
      <c r="E337" s="309"/>
      <c r="F337" s="309"/>
      <c r="G337" s="309"/>
      <c r="H337" s="309"/>
      <c r="I337" s="309"/>
    </row>
    <row r="338">
      <c r="D338" s="309"/>
      <c r="E338" s="309"/>
      <c r="F338" s="309"/>
      <c r="G338" s="309"/>
      <c r="H338" s="309"/>
      <c r="I338" s="309"/>
    </row>
    <row r="339">
      <c r="D339" s="309"/>
      <c r="E339" s="309"/>
      <c r="F339" s="309"/>
      <c r="G339" s="309"/>
      <c r="H339" s="309"/>
      <c r="I339" s="309"/>
    </row>
    <row r="340">
      <c r="D340" s="309"/>
      <c r="E340" s="309"/>
      <c r="F340" s="309"/>
      <c r="G340" s="309"/>
      <c r="H340" s="309"/>
      <c r="I340" s="309"/>
    </row>
    <row r="341">
      <c r="D341" s="309"/>
      <c r="E341" s="309"/>
      <c r="F341" s="309"/>
      <c r="G341" s="309"/>
      <c r="H341" s="309"/>
      <c r="I341" s="309"/>
    </row>
    <row r="342">
      <c r="D342" s="309"/>
      <c r="E342" s="309"/>
      <c r="F342" s="309"/>
      <c r="G342" s="309"/>
      <c r="H342" s="309"/>
      <c r="I342" s="309"/>
    </row>
    <row r="343">
      <c r="D343" s="309"/>
      <c r="E343" s="309"/>
      <c r="F343" s="309"/>
      <c r="G343" s="309"/>
      <c r="H343" s="309"/>
      <c r="I343" s="309"/>
    </row>
    <row r="344">
      <c r="D344" s="309"/>
      <c r="E344" s="309"/>
      <c r="F344" s="309"/>
      <c r="G344" s="309"/>
      <c r="H344" s="309"/>
      <c r="I344" s="309"/>
    </row>
    <row r="345">
      <c r="D345" s="309"/>
      <c r="E345" s="309"/>
      <c r="F345" s="309"/>
      <c r="G345" s="309"/>
      <c r="H345" s="309"/>
      <c r="I345" s="309"/>
    </row>
    <row r="346">
      <c r="D346" s="309"/>
      <c r="E346" s="309"/>
      <c r="F346" s="309"/>
      <c r="G346" s="309"/>
      <c r="H346" s="309"/>
      <c r="I346" s="309"/>
    </row>
    <row r="347">
      <c r="D347" s="309"/>
      <c r="E347" s="309"/>
      <c r="F347" s="309"/>
      <c r="G347" s="309"/>
      <c r="H347" s="309"/>
      <c r="I347" s="309"/>
    </row>
    <row r="348">
      <c r="D348" s="309"/>
      <c r="E348" s="309"/>
      <c r="F348" s="309"/>
      <c r="G348" s="309"/>
      <c r="H348" s="309"/>
      <c r="I348" s="309"/>
    </row>
    <row r="349">
      <c r="D349" s="309"/>
      <c r="E349" s="309"/>
      <c r="F349" s="309"/>
      <c r="G349" s="309"/>
      <c r="H349" s="309"/>
      <c r="I349" s="309"/>
    </row>
    <row r="350">
      <c r="D350" s="309"/>
      <c r="E350" s="309"/>
      <c r="F350" s="309"/>
      <c r="G350" s="309"/>
      <c r="H350" s="309"/>
      <c r="I350" s="309"/>
    </row>
    <row r="351">
      <c r="D351" s="309"/>
      <c r="E351" s="309"/>
      <c r="F351" s="309"/>
      <c r="G351" s="309"/>
      <c r="H351" s="309"/>
      <c r="I351" s="309"/>
    </row>
    <row r="352">
      <c r="D352" s="309"/>
      <c r="E352" s="309"/>
      <c r="F352" s="309"/>
      <c r="G352" s="309"/>
      <c r="H352" s="309"/>
      <c r="I352" s="309"/>
    </row>
    <row r="353">
      <c r="D353" s="309"/>
      <c r="E353" s="309"/>
      <c r="F353" s="309"/>
      <c r="G353" s="309"/>
      <c r="H353" s="309"/>
      <c r="I353" s="309"/>
    </row>
    <row r="354">
      <c r="D354" s="309"/>
      <c r="E354" s="309"/>
      <c r="F354" s="309"/>
      <c r="G354" s="309"/>
      <c r="H354" s="309"/>
      <c r="I354" s="309"/>
    </row>
    <row r="355">
      <c r="D355" s="309"/>
      <c r="E355" s="309"/>
      <c r="F355" s="309"/>
      <c r="G355" s="309"/>
      <c r="H355" s="309"/>
      <c r="I355" s="309"/>
    </row>
    <row r="356">
      <c r="D356" s="309"/>
      <c r="E356" s="309"/>
      <c r="F356" s="309"/>
      <c r="G356" s="309"/>
      <c r="H356" s="309"/>
      <c r="I356" s="309"/>
    </row>
    <row r="357">
      <c r="D357" s="309"/>
      <c r="E357" s="309"/>
      <c r="F357" s="309"/>
      <c r="G357" s="309"/>
      <c r="H357" s="309"/>
      <c r="I357" s="309"/>
    </row>
    <row r="358">
      <c r="D358" s="309"/>
      <c r="E358" s="309"/>
      <c r="F358" s="309"/>
      <c r="G358" s="309"/>
      <c r="H358" s="309"/>
      <c r="I358" s="309"/>
    </row>
    <row r="359">
      <c r="D359" s="309"/>
      <c r="E359" s="309"/>
      <c r="F359" s="309"/>
      <c r="G359" s="309"/>
      <c r="H359" s="309"/>
      <c r="I359" s="309"/>
    </row>
    <row r="360">
      <c r="D360" s="309"/>
      <c r="E360" s="309"/>
      <c r="F360" s="309"/>
      <c r="G360" s="309"/>
      <c r="H360" s="309"/>
      <c r="I360" s="309"/>
    </row>
    <row r="361">
      <c r="D361" s="309"/>
      <c r="E361" s="309"/>
      <c r="F361" s="309"/>
      <c r="G361" s="309"/>
      <c r="H361" s="309"/>
      <c r="I361" s="309"/>
    </row>
    <row r="362">
      <c r="D362" s="309"/>
      <c r="E362" s="309"/>
      <c r="F362" s="309"/>
      <c r="G362" s="309"/>
      <c r="H362" s="309"/>
      <c r="I362" s="309"/>
    </row>
    <row r="363">
      <c r="D363" s="309"/>
      <c r="E363" s="309"/>
      <c r="F363" s="309"/>
      <c r="G363" s="309"/>
      <c r="H363" s="309"/>
      <c r="I363" s="309"/>
    </row>
    <row r="364">
      <c r="D364" s="309"/>
      <c r="E364" s="309"/>
      <c r="F364" s="309"/>
      <c r="G364" s="309"/>
      <c r="H364" s="309"/>
      <c r="I364" s="309"/>
    </row>
    <row r="365">
      <c r="D365" s="309"/>
      <c r="E365" s="309"/>
      <c r="F365" s="309"/>
      <c r="G365" s="309"/>
      <c r="H365" s="309"/>
      <c r="I365" s="309"/>
    </row>
    <row r="366">
      <c r="D366" s="309"/>
      <c r="E366" s="309"/>
      <c r="F366" s="309"/>
      <c r="G366" s="309"/>
      <c r="H366" s="309"/>
      <c r="I366" s="309"/>
    </row>
    <row r="367">
      <c r="D367" s="309"/>
      <c r="E367" s="309"/>
      <c r="F367" s="309"/>
      <c r="G367" s="309"/>
      <c r="H367" s="309"/>
      <c r="I367" s="309"/>
    </row>
    <row r="368">
      <c r="D368" s="309"/>
      <c r="E368" s="309"/>
      <c r="F368" s="309"/>
      <c r="G368" s="309"/>
      <c r="H368" s="309"/>
      <c r="I368" s="309"/>
    </row>
    <row r="369">
      <c r="D369" s="309"/>
      <c r="E369" s="309"/>
      <c r="F369" s="309"/>
      <c r="G369" s="309"/>
      <c r="H369" s="309"/>
      <c r="I369" s="309"/>
    </row>
    <row r="370">
      <c r="D370" s="309"/>
      <c r="E370" s="309"/>
      <c r="F370" s="309"/>
      <c r="G370" s="309"/>
      <c r="H370" s="309"/>
      <c r="I370" s="309"/>
    </row>
    <row r="371">
      <c r="D371" s="309"/>
      <c r="E371" s="309"/>
      <c r="F371" s="309"/>
      <c r="G371" s="309"/>
      <c r="H371" s="309"/>
      <c r="I371" s="309"/>
    </row>
    <row r="372">
      <c r="D372" s="309"/>
      <c r="E372" s="309"/>
      <c r="F372" s="309"/>
      <c r="G372" s="309"/>
      <c r="H372" s="309"/>
      <c r="I372" s="309"/>
    </row>
    <row r="373">
      <c r="D373" s="309"/>
      <c r="E373" s="309"/>
      <c r="F373" s="309"/>
      <c r="G373" s="309"/>
      <c r="H373" s="309"/>
      <c r="I373" s="309"/>
    </row>
    <row r="374">
      <c r="D374" s="309"/>
      <c r="E374" s="309"/>
      <c r="F374" s="309"/>
      <c r="G374" s="309"/>
      <c r="H374" s="309"/>
      <c r="I374" s="309"/>
    </row>
    <row r="375">
      <c r="D375" s="309"/>
      <c r="E375" s="309"/>
      <c r="F375" s="309"/>
      <c r="G375" s="309"/>
      <c r="H375" s="309"/>
      <c r="I375" s="309"/>
    </row>
    <row r="376">
      <c r="D376" s="309"/>
      <c r="E376" s="309"/>
      <c r="F376" s="309"/>
      <c r="G376" s="309"/>
      <c r="H376" s="309"/>
      <c r="I376" s="309"/>
    </row>
    <row r="377">
      <c r="D377" s="309"/>
      <c r="E377" s="309"/>
      <c r="F377" s="309"/>
      <c r="G377" s="309"/>
      <c r="H377" s="309"/>
      <c r="I377" s="309"/>
    </row>
    <row r="378">
      <c r="D378" s="309"/>
      <c r="E378" s="309"/>
      <c r="F378" s="309"/>
      <c r="G378" s="309"/>
      <c r="H378" s="309"/>
      <c r="I378" s="309"/>
    </row>
    <row r="379">
      <c r="D379" s="309"/>
      <c r="E379" s="309"/>
      <c r="F379" s="309"/>
      <c r="G379" s="309"/>
      <c r="H379" s="309"/>
      <c r="I379" s="309"/>
    </row>
    <row r="380">
      <c r="D380" s="309"/>
      <c r="E380" s="309"/>
      <c r="F380" s="309"/>
      <c r="G380" s="309"/>
      <c r="H380" s="309"/>
      <c r="I380" s="309"/>
    </row>
    <row r="381">
      <c r="D381" s="309"/>
      <c r="E381" s="309"/>
      <c r="F381" s="309"/>
      <c r="G381" s="309"/>
      <c r="H381" s="309"/>
      <c r="I381" s="309"/>
    </row>
    <row r="382">
      <c r="D382" s="309"/>
      <c r="E382" s="309"/>
      <c r="F382" s="309"/>
      <c r="G382" s="309"/>
      <c r="H382" s="309"/>
      <c r="I382" s="309"/>
    </row>
    <row r="383">
      <c r="D383" s="309"/>
      <c r="E383" s="309"/>
      <c r="F383" s="309"/>
      <c r="G383" s="309"/>
      <c r="H383" s="309"/>
      <c r="I383" s="309"/>
    </row>
    <row r="384">
      <c r="D384" s="309"/>
      <c r="E384" s="309"/>
      <c r="F384" s="309"/>
      <c r="G384" s="309"/>
      <c r="H384" s="309"/>
      <c r="I384" s="309"/>
    </row>
    <row r="385">
      <c r="D385" s="309"/>
      <c r="E385" s="309"/>
      <c r="F385" s="309"/>
      <c r="G385" s="309"/>
      <c r="H385" s="309"/>
      <c r="I385" s="309"/>
    </row>
    <row r="386">
      <c r="D386" s="309"/>
      <c r="E386" s="309"/>
      <c r="F386" s="309"/>
      <c r="G386" s="309"/>
      <c r="H386" s="309"/>
      <c r="I386" s="309"/>
    </row>
    <row r="387">
      <c r="D387" s="309"/>
      <c r="E387" s="309"/>
      <c r="F387" s="309"/>
      <c r="G387" s="309"/>
      <c r="H387" s="309"/>
      <c r="I387" s="309"/>
    </row>
    <row r="388">
      <c r="D388" s="309"/>
      <c r="E388" s="309"/>
      <c r="F388" s="309"/>
      <c r="G388" s="309"/>
      <c r="H388" s="309"/>
      <c r="I388" s="309"/>
    </row>
    <row r="389">
      <c r="D389" s="309"/>
      <c r="E389" s="309"/>
      <c r="F389" s="309"/>
      <c r="G389" s="309"/>
      <c r="H389" s="309"/>
      <c r="I389" s="309"/>
    </row>
    <row r="390">
      <c r="D390" s="309"/>
      <c r="E390" s="309"/>
      <c r="F390" s="309"/>
      <c r="G390" s="309"/>
      <c r="H390" s="309"/>
      <c r="I390" s="309"/>
    </row>
    <row r="391">
      <c r="D391" s="309"/>
      <c r="E391" s="309"/>
      <c r="F391" s="309"/>
      <c r="G391" s="309"/>
      <c r="H391" s="309"/>
      <c r="I391" s="309"/>
    </row>
    <row r="392">
      <c r="D392" s="309"/>
      <c r="E392" s="309"/>
      <c r="F392" s="309"/>
      <c r="G392" s="309"/>
      <c r="H392" s="309"/>
      <c r="I392" s="309"/>
    </row>
    <row r="393">
      <c r="D393" s="309"/>
      <c r="E393" s="309"/>
      <c r="F393" s="309"/>
      <c r="G393" s="309"/>
      <c r="H393" s="309"/>
      <c r="I393" s="309"/>
    </row>
    <row r="394">
      <c r="D394" s="309"/>
      <c r="E394" s="309"/>
      <c r="F394" s="309"/>
      <c r="G394" s="309"/>
      <c r="H394" s="309"/>
      <c r="I394" s="309"/>
    </row>
    <row r="395">
      <c r="D395" s="309"/>
      <c r="E395" s="309"/>
      <c r="F395" s="309"/>
      <c r="G395" s="309"/>
      <c r="H395" s="309"/>
      <c r="I395" s="309"/>
    </row>
    <row r="396">
      <c r="D396" s="309"/>
      <c r="E396" s="309"/>
      <c r="F396" s="309"/>
      <c r="G396" s="309"/>
      <c r="H396" s="309"/>
      <c r="I396" s="309"/>
    </row>
    <row r="397">
      <c r="D397" s="309"/>
      <c r="E397" s="309"/>
      <c r="F397" s="309"/>
      <c r="G397" s="309"/>
      <c r="H397" s="309"/>
      <c r="I397" s="309"/>
    </row>
    <row r="398">
      <c r="D398" s="309"/>
      <c r="E398" s="309"/>
      <c r="F398" s="309"/>
      <c r="G398" s="309"/>
      <c r="H398" s="309"/>
      <c r="I398" s="309"/>
    </row>
    <row r="399">
      <c r="D399" s="309"/>
      <c r="E399" s="309"/>
      <c r="F399" s="309"/>
      <c r="G399" s="309"/>
      <c r="H399" s="309"/>
      <c r="I399" s="309"/>
    </row>
    <row r="400">
      <c r="D400" s="309"/>
      <c r="E400" s="309"/>
      <c r="F400" s="309"/>
      <c r="G400" s="309"/>
      <c r="H400" s="309"/>
      <c r="I400" s="309"/>
    </row>
    <row r="401">
      <c r="D401" s="309"/>
      <c r="E401" s="309"/>
      <c r="F401" s="309"/>
      <c r="G401" s="309"/>
      <c r="H401" s="309"/>
      <c r="I401" s="309"/>
    </row>
    <row r="402">
      <c r="D402" s="309"/>
      <c r="E402" s="309"/>
      <c r="F402" s="309"/>
      <c r="G402" s="309"/>
      <c r="H402" s="309"/>
      <c r="I402" s="309"/>
    </row>
    <row r="403">
      <c r="D403" s="309"/>
      <c r="E403" s="309"/>
      <c r="F403" s="309"/>
      <c r="G403" s="309"/>
      <c r="H403" s="309"/>
      <c r="I403" s="309"/>
    </row>
    <row r="404">
      <c r="D404" s="309"/>
      <c r="E404" s="309"/>
      <c r="F404" s="309"/>
      <c r="G404" s="309"/>
      <c r="H404" s="309"/>
      <c r="I404" s="309"/>
    </row>
    <row r="405">
      <c r="D405" s="309"/>
      <c r="E405" s="309"/>
      <c r="F405" s="309"/>
      <c r="G405" s="309"/>
      <c r="H405" s="309"/>
      <c r="I405" s="309"/>
    </row>
    <row r="406">
      <c r="D406" s="309"/>
      <c r="E406" s="309"/>
      <c r="F406" s="309"/>
      <c r="G406" s="309"/>
      <c r="H406" s="309"/>
      <c r="I406" s="309"/>
    </row>
    <row r="407">
      <c r="D407" s="309"/>
      <c r="E407" s="309"/>
      <c r="F407" s="309"/>
      <c r="G407" s="309"/>
      <c r="H407" s="309"/>
      <c r="I407" s="309"/>
    </row>
    <row r="408">
      <c r="D408" s="309"/>
      <c r="E408" s="309"/>
      <c r="F408" s="309"/>
      <c r="G408" s="309"/>
      <c r="H408" s="309"/>
      <c r="I408" s="309"/>
    </row>
    <row r="409">
      <c r="D409" s="309"/>
      <c r="E409" s="309"/>
      <c r="F409" s="309"/>
      <c r="G409" s="309"/>
      <c r="H409" s="309"/>
      <c r="I409" s="309"/>
    </row>
    <row r="410">
      <c r="D410" s="309"/>
      <c r="E410" s="309"/>
      <c r="F410" s="309"/>
      <c r="G410" s="309"/>
      <c r="H410" s="309"/>
      <c r="I410" s="309"/>
    </row>
    <row r="411">
      <c r="D411" s="309"/>
      <c r="E411" s="309"/>
      <c r="F411" s="309"/>
      <c r="G411" s="309"/>
      <c r="H411" s="309"/>
      <c r="I411" s="309"/>
    </row>
    <row r="412">
      <c r="D412" s="309"/>
      <c r="E412" s="309"/>
      <c r="F412" s="309"/>
      <c r="G412" s="309"/>
      <c r="H412" s="309"/>
      <c r="I412" s="309"/>
    </row>
    <row r="413">
      <c r="D413" s="309"/>
      <c r="E413" s="309"/>
      <c r="F413" s="309"/>
      <c r="G413" s="309"/>
      <c r="H413" s="309"/>
      <c r="I413" s="309"/>
    </row>
    <row r="414">
      <c r="D414" s="309"/>
      <c r="E414" s="309"/>
      <c r="F414" s="309"/>
      <c r="G414" s="309"/>
      <c r="H414" s="309"/>
      <c r="I414" s="309"/>
    </row>
    <row r="415">
      <c r="D415" s="309"/>
      <c r="E415" s="309"/>
      <c r="F415" s="309"/>
      <c r="G415" s="309"/>
      <c r="H415" s="309"/>
      <c r="I415" s="309"/>
    </row>
    <row r="416">
      <c r="D416" s="309"/>
      <c r="E416" s="309"/>
      <c r="F416" s="309"/>
      <c r="G416" s="309"/>
      <c r="H416" s="309"/>
      <c r="I416" s="309"/>
    </row>
    <row r="417">
      <c r="D417" s="309"/>
      <c r="E417" s="309"/>
      <c r="F417" s="309"/>
      <c r="G417" s="309"/>
      <c r="H417" s="309"/>
      <c r="I417" s="309"/>
    </row>
    <row r="418">
      <c r="D418" s="309"/>
      <c r="E418" s="309"/>
      <c r="F418" s="309"/>
      <c r="G418" s="309"/>
      <c r="H418" s="309"/>
      <c r="I418" s="309"/>
    </row>
    <row r="419">
      <c r="D419" s="309"/>
      <c r="E419" s="309"/>
      <c r="F419" s="309"/>
      <c r="G419" s="309"/>
      <c r="H419" s="309"/>
      <c r="I419" s="309"/>
    </row>
    <row r="420">
      <c r="D420" s="309"/>
      <c r="E420" s="309"/>
      <c r="F420" s="309"/>
      <c r="G420" s="309"/>
      <c r="H420" s="309"/>
      <c r="I420" s="309"/>
    </row>
    <row r="421">
      <c r="D421" s="309"/>
      <c r="E421" s="309"/>
      <c r="F421" s="309"/>
      <c r="G421" s="309"/>
      <c r="H421" s="309"/>
      <c r="I421" s="309"/>
    </row>
    <row r="422">
      <c r="D422" s="309"/>
      <c r="E422" s="309"/>
      <c r="F422" s="309"/>
      <c r="G422" s="309"/>
      <c r="H422" s="309"/>
      <c r="I422" s="309"/>
    </row>
    <row r="423">
      <c r="D423" s="309"/>
      <c r="E423" s="309"/>
      <c r="F423" s="309"/>
      <c r="G423" s="309"/>
      <c r="H423" s="309"/>
      <c r="I423" s="309"/>
    </row>
    <row r="424">
      <c r="D424" s="309"/>
      <c r="E424" s="309"/>
      <c r="F424" s="309"/>
      <c r="G424" s="309"/>
      <c r="H424" s="309"/>
      <c r="I424" s="309"/>
    </row>
    <row r="425">
      <c r="D425" s="309"/>
      <c r="E425" s="309"/>
      <c r="F425" s="309"/>
      <c r="G425" s="309"/>
      <c r="H425" s="309"/>
      <c r="I425" s="309"/>
    </row>
    <row r="426">
      <c r="D426" s="309"/>
      <c r="E426" s="309"/>
      <c r="F426" s="309"/>
      <c r="G426" s="309"/>
      <c r="H426" s="309"/>
      <c r="I426" s="309"/>
    </row>
    <row r="427">
      <c r="D427" s="309"/>
      <c r="E427" s="309"/>
      <c r="F427" s="309"/>
      <c r="G427" s="309"/>
      <c r="H427" s="309"/>
      <c r="I427" s="309"/>
    </row>
    <row r="428">
      <c r="D428" s="309"/>
      <c r="E428" s="309"/>
      <c r="F428" s="309"/>
      <c r="G428" s="309"/>
      <c r="H428" s="309"/>
      <c r="I428" s="309"/>
    </row>
    <row r="429">
      <c r="D429" s="309"/>
      <c r="E429" s="309"/>
      <c r="F429" s="309"/>
      <c r="G429" s="309"/>
      <c r="H429" s="309"/>
      <c r="I429" s="309"/>
    </row>
    <row r="430">
      <c r="D430" s="309"/>
      <c r="E430" s="309"/>
      <c r="F430" s="309"/>
      <c r="G430" s="309"/>
      <c r="H430" s="309"/>
      <c r="I430" s="309"/>
    </row>
    <row r="431">
      <c r="D431" s="309"/>
      <c r="E431" s="309"/>
      <c r="F431" s="309"/>
      <c r="G431" s="309"/>
      <c r="H431" s="309"/>
      <c r="I431" s="309"/>
    </row>
    <row r="432">
      <c r="D432" s="309"/>
      <c r="E432" s="309"/>
      <c r="F432" s="309"/>
      <c r="G432" s="309"/>
      <c r="H432" s="309"/>
      <c r="I432" s="309"/>
    </row>
    <row r="433">
      <c r="D433" s="309"/>
      <c r="E433" s="309"/>
      <c r="F433" s="309"/>
      <c r="G433" s="309"/>
      <c r="H433" s="309"/>
      <c r="I433" s="309"/>
    </row>
    <row r="434">
      <c r="D434" s="309"/>
      <c r="E434" s="309"/>
      <c r="F434" s="309"/>
      <c r="G434" s="309"/>
      <c r="H434" s="309"/>
      <c r="I434" s="309"/>
    </row>
    <row r="435">
      <c r="D435" s="309"/>
      <c r="E435" s="309"/>
      <c r="F435" s="309"/>
      <c r="G435" s="309"/>
      <c r="H435" s="309"/>
      <c r="I435" s="309"/>
    </row>
    <row r="436">
      <c r="D436" s="309"/>
      <c r="E436" s="309"/>
      <c r="F436" s="309"/>
      <c r="G436" s="309"/>
      <c r="H436" s="309"/>
      <c r="I436" s="309"/>
    </row>
    <row r="437">
      <c r="D437" s="309"/>
      <c r="E437" s="309"/>
      <c r="F437" s="309"/>
      <c r="G437" s="309"/>
      <c r="H437" s="309"/>
      <c r="I437" s="309"/>
    </row>
    <row r="438">
      <c r="D438" s="309"/>
      <c r="E438" s="309"/>
      <c r="F438" s="309"/>
      <c r="G438" s="309"/>
      <c r="H438" s="309"/>
      <c r="I438" s="309"/>
    </row>
    <row r="439">
      <c r="D439" s="309"/>
      <c r="E439" s="309"/>
      <c r="F439" s="309"/>
      <c r="G439" s="309"/>
      <c r="H439" s="309"/>
      <c r="I439" s="309"/>
    </row>
    <row r="440">
      <c r="D440" s="309"/>
      <c r="E440" s="309"/>
      <c r="F440" s="309"/>
      <c r="G440" s="309"/>
      <c r="H440" s="309"/>
      <c r="I440" s="309"/>
    </row>
    <row r="441">
      <c r="D441" s="309"/>
      <c r="E441" s="309"/>
      <c r="F441" s="309"/>
      <c r="G441" s="309"/>
      <c r="H441" s="309"/>
      <c r="I441" s="309"/>
    </row>
    <row r="442">
      <c r="D442" s="309"/>
      <c r="E442" s="309"/>
      <c r="F442" s="309"/>
      <c r="G442" s="309"/>
      <c r="H442" s="309"/>
      <c r="I442" s="309"/>
    </row>
    <row r="443">
      <c r="D443" s="309"/>
      <c r="E443" s="309"/>
      <c r="F443" s="309"/>
      <c r="G443" s="309"/>
      <c r="H443" s="309"/>
      <c r="I443" s="309"/>
    </row>
    <row r="444">
      <c r="D444" s="309"/>
      <c r="E444" s="309"/>
      <c r="F444" s="309"/>
      <c r="G444" s="309"/>
      <c r="H444" s="309"/>
      <c r="I444" s="309"/>
    </row>
    <row r="445">
      <c r="D445" s="309"/>
      <c r="E445" s="309"/>
      <c r="F445" s="309"/>
      <c r="G445" s="309"/>
      <c r="H445" s="309"/>
      <c r="I445" s="309"/>
    </row>
    <row r="446">
      <c r="D446" s="309"/>
      <c r="E446" s="309"/>
      <c r="F446" s="309"/>
      <c r="G446" s="309"/>
      <c r="H446" s="309"/>
      <c r="I446" s="309"/>
    </row>
    <row r="447">
      <c r="D447" s="309"/>
      <c r="E447" s="309"/>
      <c r="F447" s="309"/>
      <c r="G447" s="309"/>
      <c r="H447" s="309"/>
      <c r="I447" s="309"/>
    </row>
    <row r="448">
      <c r="D448" s="309"/>
      <c r="E448" s="309"/>
      <c r="F448" s="309"/>
      <c r="G448" s="309"/>
      <c r="H448" s="309"/>
      <c r="I448" s="309"/>
    </row>
    <row r="449">
      <c r="D449" s="309"/>
      <c r="E449" s="309"/>
      <c r="F449" s="309"/>
      <c r="G449" s="309"/>
      <c r="H449" s="309"/>
      <c r="I449" s="309"/>
    </row>
    <row r="450">
      <c r="D450" s="309"/>
      <c r="E450" s="309"/>
      <c r="F450" s="309"/>
      <c r="G450" s="309"/>
      <c r="H450" s="309"/>
      <c r="I450" s="309"/>
    </row>
    <row r="451">
      <c r="D451" s="309"/>
      <c r="E451" s="309"/>
      <c r="F451" s="309"/>
      <c r="G451" s="309"/>
      <c r="H451" s="309"/>
      <c r="I451" s="309"/>
    </row>
    <row r="452">
      <c r="D452" s="309"/>
      <c r="E452" s="309"/>
      <c r="F452" s="309"/>
      <c r="G452" s="309"/>
      <c r="H452" s="309"/>
      <c r="I452" s="309"/>
    </row>
    <row r="453">
      <c r="D453" s="309"/>
      <c r="E453" s="309"/>
      <c r="F453" s="309"/>
      <c r="G453" s="309"/>
      <c r="H453" s="309"/>
      <c r="I453" s="309"/>
    </row>
    <row r="454">
      <c r="D454" s="309"/>
      <c r="E454" s="309"/>
      <c r="F454" s="309"/>
      <c r="G454" s="309"/>
      <c r="H454" s="309"/>
      <c r="I454" s="309"/>
    </row>
    <row r="455">
      <c r="D455" s="309"/>
      <c r="E455" s="309"/>
      <c r="F455" s="309"/>
      <c r="G455" s="309"/>
      <c r="H455" s="309"/>
      <c r="I455" s="309"/>
    </row>
    <row r="456">
      <c r="D456" s="309"/>
      <c r="E456" s="309"/>
      <c r="F456" s="309"/>
      <c r="G456" s="309"/>
      <c r="H456" s="309"/>
      <c r="I456" s="309"/>
    </row>
    <row r="457">
      <c r="D457" s="309"/>
      <c r="E457" s="309"/>
      <c r="F457" s="309"/>
      <c r="G457" s="309"/>
      <c r="H457" s="309"/>
      <c r="I457" s="309"/>
    </row>
    <row r="458">
      <c r="D458" s="309"/>
      <c r="E458" s="309"/>
      <c r="F458" s="309"/>
      <c r="G458" s="309"/>
      <c r="H458" s="309"/>
      <c r="I458" s="309"/>
    </row>
    <row r="459">
      <c r="D459" s="309"/>
      <c r="E459" s="309"/>
      <c r="F459" s="309"/>
      <c r="G459" s="309"/>
      <c r="H459" s="309"/>
      <c r="I459" s="309"/>
    </row>
    <row r="460">
      <c r="D460" s="309"/>
      <c r="E460" s="309"/>
      <c r="F460" s="309"/>
      <c r="G460" s="309"/>
      <c r="H460" s="309"/>
      <c r="I460" s="309"/>
    </row>
    <row r="461">
      <c r="D461" s="309"/>
      <c r="E461" s="309"/>
      <c r="F461" s="309"/>
      <c r="G461" s="309"/>
      <c r="H461" s="309"/>
      <c r="I461" s="309"/>
    </row>
    <row r="462">
      <c r="D462" s="309"/>
      <c r="E462" s="309"/>
      <c r="F462" s="309"/>
      <c r="G462" s="309"/>
      <c r="H462" s="309"/>
      <c r="I462" s="309"/>
    </row>
    <row r="463">
      <c r="D463" s="309"/>
      <c r="E463" s="309"/>
      <c r="F463" s="309"/>
      <c r="G463" s="309"/>
      <c r="H463" s="309"/>
      <c r="I463" s="309"/>
    </row>
    <row r="464">
      <c r="D464" s="309"/>
      <c r="E464" s="309"/>
      <c r="F464" s="309"/>
      <c r="G464" s="309"/>
      <c r="H464" s="309"/>
      <c r="I464" s="309"/>
    </row>
    <row r="465">
      <c r="D465" s="309"/>
      <c r="E465" s="309"/>
      <c r="F465" s="309"/>
      <c r="G465" s="309"/>
      <c r="H465" s="309"/>
      <c r="I465" s="309"/>
    </row>
    <row r="466">
      <c r="D466" s="309"/>
      <c r="E466" s="309"/>
      <c r="F466" s="309"/>
      <c r="G466" s="309"/>
      <c r="H466" s="309"/>
      <c r="I466" s="309"/>
    </row>
    <row r="467">
      <c r="D467" s="309"/>
      <c r="E467" s="309"/>
      <c r="F467" s="309"/>
      <c r="G467" s="309"/>
      <c r="H467" s="309"/>
      <c r="I467" s="309"/>
    </row>
    <row r="468">
      <c r="D468" s="309"/>
      <c r="E468" s="309"/>
      <c r="F468" s="309"/>
      <c r="G468" s="309"/>
      <c r="H468" s="309"/>
      <c r="I468" s="309"/>
    </row>
    <row r="469">
      <c r="D469" s="309"/>
      <c r="E469" s="309"/>
      <c r="F469" s="309"/>
      <c r="G469" s="309"/>
      <c r="H469" s="309"/>
      <c r="I469" s="309"/>
    </row>
    <row r="470">
      <c r="D470" s="309"/>
      <c r="E470" s="309"/>
      <c r="F470" s="309"/>
      <c r="G470" s="309"/>
      <c r="H470" s="309"/>
      <c r="I470" s="309"/>
    </row>
    <row r="471">
      <c r="D471" s="309"/>
      <c r="E471" s="309"/>
      <c r="F471" s="309"/>
      <c r="G471" s="309"/>
      <c r="H471" s="309"/>
      <c r="I471" s="309"/>
    </row>
    <row r="472">
      <c r="D472" s="309"/>
      <c r="E472" s="309"/>
      <c r="F472" s="309"/>
      <c r="G472" s="309"/>
      <c r="H472" s="309"/>
      <c r="I472" s="309"/>
    </row>
    <row r="473">
      <c r="D473" s="309"/>
      <c r="E473" s="309"/>
      <c r="F473" s="309"/>
      <c r="G473" s="309"/>
      <c r="H473" s="309"/>
      <c r="I473" s="309"/>
    </row>
    <row r="474">
      <c r="D474" s="309"/>
      <c r="E474" s="309"/>
      <c r="F474" s="309"/>
      <c r="G474" s="309"/>
      <c r="H474" s="309"/>
      <c r="I474" s="309"/>
    </row>
    <row r="475">
      <c r="D475" s="309"/>
      <c r="E475" s="309"/>
      <c r="F475" s="309"/>
      <c r="G475" s="309"/>
      <c r="H475" s="309"/>
      <c r="I475" s="309"/>
    </row>
    <row r="476">
      <c r="D476" s="309"/>
      <c r="E476" s="309"/>
      <c r="F476" s="309"/>
      <c r="G476" s="309"/>
      <c r="H476" s="309"/>
      <c r="I476" s="309"/>
    </row>
    <row r="477">
      <c r="D477" s="309"/>
      <c r="E477" s="309"/>
      <c r="F477" s="309"/>
      <c r="G477" s="309"/>
      <c r="H477" s="309"/>
      <c r="I477" s="309"/>
    </row>
    <row r="478">
      <c r="D478" s="309"/>
      <c r="E478" s="309"/>
      <c r="F478" s="309"/>
      <c r="G478" s="309"/>
      <c r="H478" s="309"/>
      <c r="I478" s="309"/>
    </row>
    <row r="479">
      <c r="D479" s="309"/>
      <c r="E479" s="309"/>
      <c r="F479" s="309"/>
      <c r="G479" s="309"/>
      <c r="H479" s="309"/>
      <c r="I479" s="309"/>
    </row>
    <row r="480">
      <c r="D480" s="309"/>
      <c r="E480" s="309"/>
      <c r="F480" s="309"/>
      <c r="G480" s="309"/>
      <c r="H480" s="309"/>
      <c r="I480" s="309"/>
    </row>
    <row r="481">
      <c r="D481" s="309"/>
      <c r="E481" s="309"/>
      <c r="F481" s="309"/>
      <c r="G481" s="309"/>
      <c r="H481" s="309"/>
      <c r="I481" s="309"/>
    </row>
    <row r="482">
      <c r="D482" s="309"/>
      <c r="E482" s="309"/>
      <c r="F482" s="309"/>
      <c r="G482" s="309"/>
      <c r="H482" s="309"/>
      <c r="I482" s="309"/>
    </row>
    <row r="483">
      <c r="D483" s="309"/>
      <c r="E483" s="309"/>
      <c r="F483" s="309"/>
      <c r="G483" s="309"/>
      <c r="H483" s="309"/>
      <c r="I483" s="309"/>
    </row>
    <row r="484">
      <c r="D484" s="309"/>
      <c r="E484" s="309"/>
      <c r="F484" s="309"/>
      <c r="G484" s="309"/>
      <c r="H484" s="309"/>
      <c r="I484" s="309"/>
    </row>
    <row r="485">
      <c r="D485" s="309"/>
      <c r="E485" s="309"/>
      <c r="F485" s="309"/>
      <c r="G485" s="309"/>
      <c r="H485" s="309"/>
      <c r="I485" s="309"/>
    </row>
    <row r="486">
      <c r="D486" s="309"/>
      <c r="E486" s="309"/>
      <c r="F486" s="309"/>
      <c r="G486" s="309"/>
      <c r="H486" s="309"/>
      <c r="I486" s="309"/>
    </row>
    <row r="487">
      <c r="D487" s="309"/>
      <c r="E487" s="309"/>
      <c r="F487" s="309"/>
      <c r="G487" s="309"/>
      <c r="H487" s="309"/>
      <c r="I487" s="309"/>
    </row>
    <row r="488">
      <c r="D488" s="309"/>
      <c r="E488" s="309"/>
      <c r="F488" s="309"/>
      <c r="G488" s="309"/>
      <c r="H488" s="309"/>
      <c r="I488" s="309"/>
    </row>
    <row r="489">
      <c r="D489" s="309"/>
      <c r="E489" s="309"/>
      <c r="F489" s="309"/>
      <c r="G489" s="309"/>
      <c r="H489" s="309"/>
      <c r="I489" s="309"/>
    </row>
    <row r="490">
      <c r="D490" s="309"/>
      <c r="E490" s="309"/>
      <c r="F490" s="309"/>
      <c r="G490" s="309"/>
      <c r="H490" s="309"/>
      <c r="I490" s="309"/>
    </row>
    <row r="491">
      <c r="D491" s="309"/>
      <c r="E491" s="309"/>
      <c r="F491" s="309"/>
      <c r="G491" s="309"/>
      <c r="H491" s="309"/>
      <c r="I491" s="309"/>
    </row>
    <row r="492">
      <c r="D492" s="309"/>
      <c r="E492" s="309"/>
      <c r="F492" s="309"/>
      <c r="G492" s="309"/>
      <c r="H492" s="309"/>
      <c r="I492" s="309"/>
    </row>
    <row r="493">
      <c r="D493" s="309"/>
      <c r="E493" s="309"/>
      <c r="F493" s="309"/>
      <c r="G493" s="309"/>
      <c r="H493" s="309"/>
      <c r="I493" s="309"/>
    </row>
    <row r="494">
      <c r="D494" s="309"/>
      <c r="E494" s="309"/>
      <c r="F494" s="309"/>
      <c r="G494" s="309"/>
      <c r="H494" s="309"/>
      <c r="I494" s="309"/>
    </row>
    <row r="495">
      <c r="D495" s="309"/>
      <c r="E495" s="309"/>
      <c r="F495" s="309"/>
      <c r="G495" s="309"/>
      <c r="H495" s="309"/>
      <c r="I495" s="309"/>
    </row>
    <row r="496">
      <c r="D496" s="309"/>
      <c r="E496" s="309"/>
      <c r="F496" s="309"/>
      <c r="G496" s="309"/>
      <c r="H496" s="309"/>
      <c r="I496" s="309"/>
    </row>
    <row r="497">
      <c r="D497" s="309"/>
      <c r="E497" s="309"/>
      <c r="F497" s="309"/>
      <c r="G497" s="309"/>
      <c r="H497" s="309"/>
      <c r="I497" s="309"/>
    </row>
    <row r="498">
      <c r="D498" s="309"/>
      <c r="E498" s="309"/>
      <c r="F498" s="309"/>
      <c r="G498" s="309"/>
      <c r="H498" s="309"/>
      <c r="I498" s="309"/>
    </row>
    <row r="499">
      <c r="D499" s="309"/>
      <c r="E499" s="309"/>
      <c r="F499" s="309"/>
      <c r="G499" s="309"/>
      <c r="H499" s="309"/>
      <c r="I499" s="309"/>
    </row>
    <row r="500">
      <c r="D500" s="309"/>
      <c r="E500" s="309"/>
      <c r="F500" s="309"/>
      <c r="G500" s="309"/>
      <c r="H500" s="309"/>
      <c r="I500" s="309"/>
    </row>
    <row r="501">
      <c r="D501" s="309"/>
      <c r="E501" s="309"/>
      <c r="F501" s="309"/>
      <c r="G501" s="309"/>
      <c r="H501" s="309"/>
      <c r="I501" s="309"/>
    </row>
    <row r="502">
      <c r="D502" s="309"/>
      <c r="E502" s="309"/>
      <c r="F502" s="309"/>
      <c r="G502" s="309"/>
      <c r="H502" s="309"/>
      <c r="I502" s="309"/>
    </row>
    <row r="503">
      <c r="D503" s="309"/>
      <c r="E503" s="309"/>
      <c r="F503" s="309"/>
      <c r="G503" s="309"/>
      <c r="H503" s="309"/>
      <c r="I503" s="309"/>
    </row>
    <row r="504">
      <c r="D504" s="309"/>
      <c r="E504" s="309"/>
      <c r="F504" s="309"/>
      <c r="G504" s="309"/>
      <c r="H504" s="309"/>
      <c r="I504" s="309"/>
    </row>
    <row r="505">
      <c r="D505" s="309"/>
      <c r="E505" s="309"/>
      <c r="F505" s="309"/>
      <c r="G505" s="309"/>
      <c r="H505" s="309"/>
      <c r="I505" s="309"/>
    </row>
    <row r="506">
      <c r="D506" s="309"/>
      <c r="E506" s="309"/>
      <c r="F506" s="309"/>
      <c r="G506" s="309"/>
      <c r="H506" s="309"/>
      <c r="I506" s="309"/>
    </row>
    <row r="507">
      <c r="D507" s="309"/>
      <c r="E507" s="309"/>
      <c r="F507" s="309"/>
      <c r="G507" s="309"/>
      <c r="H507" s="309"/>
      <c r="I507" s="309"/>
    </row>
    <row r="508">
      <c r="D508" s="309"/>
      <c r="E508" s="309"/>
      <c r="F508" s="309"/>
      <c r="G508" s="309"/>
      <c r="H508" s="309"/>
      <c r="I508" s="309"/>
    </row>
    <row r="509">
      <c r="D509" s="309"/>
      <c r="E509" s="309"/>
      <c r="F509" s="309"/>
      <c r="G509" s="309"/>
      <c r="H509" s="309"/>
      <c r="I509" s="309"/>
    </row>
    <row r="510">
      <c r="D510" s="309"/>
      <c r="E510" s="309"/>
      <c r="F510" s="309"/>
      <c r="G510" s="309"/>
      <c r="H510" s="309"/>
      <c r="I510" s="309"/>
    </row>
    <row r="511">
      <c r="D511" s="309"/>
      <c r="E511" s="309"/>
      <c r="F511" s="309"/>
      <c r="G511" s="309"/>
      <c r="H511" s="309"/>
      <c r="I511" s="309"/>
    </row>
    <row r="512">
      <c r="D512" s="309"/>
      <c r="E512" s="309"/>
      <c r="F512" s="309"/>
      <c r="G512" s="309"/>
      <c r="H512" s="309"/>
      <c r="I512" s="309"/>
    </row>
    <row r="513">
      <c r="D513" s="309"/>
      <c r="E513" s="309"/>
      <c r="F513" s="309"/>
      <c r="G513" s="309"/>
      <c r="H513" s="309"/>
      <c r="I513" s="309"/>
    </row>
    <row r="514">
      <c r="D514" s="309"/>
      <c r="E514" s="309"/>
      <c r="F514" s="309"/>
      <c r="G514" s="309"/>
      <c r="H514" s="309"/>
      <c r="I514" s="309"/>
    </row>
    <row r="515">
      <c r="D515" s="309"/>
      <c r="E515" s="309"/>
      <c r="F515" s="309"/>
      <c r="G515" s="309"/>
      <c r="H515" s="309"/>
      <c r="I515" s="309"/>
    </row>
    <row r="516">
      <c r="D516" s="309"/>
      <c r="E516" s="309"/>
      <c r="F516" s="309"/>
      <c r="G516" s="309"/>
      <c r="H516" s="309"/>
      <c r="I516" s="309"/>
    </row>
    <row r="517">
      <c r="D517" s="309"/>
      <c r="E517" s="309"/>
      <c r="F517" s="309"/>
      <c r="G517" s="309"/>
      <c r="H517" s="309"/>
      <c r="I517" s="309"/>
    </row>
    <row r="518">
      <c r="D518" s="309"/>
      <c r="E518" s="309"/>
      <c r="F518" s="309"/>
      <c r="G518" s="309"/>
      <c r="H518" s="309"/>
      <c r="I518" s="309"/>
    </row>
    <row r="519">
      <c r="D519" s="309"/>
      <c r="E519" s="309"/>
      <c r="F519" s="309"/>
      <c r="G519" s="309"/>
      <c r="H519" s="309"/>
      <c r="I519" s="309"/>
    </row>
    <row r="520">
      <c r="D520" s="309"/>
      <c r="E520" s="309"/>
      <c r="F520" s="309"/>
      <c r="G520" s="309"/>
      <c r="H520" s="309"/>
      <c r="I520" s="309"/>
    </row>
    <row r="521">
      <c r="D521" s="309"/>
      <c r="E521" s="309"/>
      <c r="F521" s="309"/>
      <c r="G521" s="309"/>
      <c r="H521" s="309"/>
      <c r="I521" s="309"/>
    </row>
    <row r="522">
      <c r="D522" s="309"/>
      <c r="E522" s="309"/>
      <c r="F522" s="309"/>
      <c r="G522" s="309"/>
      <c r="H522" s="309"/>
      <c r="I522" s="309"/>
    </row>
    <row r="523">
      <c r="D523" s="309"/>
      <c r="E523" s="309"/>
      <c r="F523" s="309"/>
      <c r="G523" s="309"/>
      <c r="H523" s="309"/>
      <c r="I523" s="309"/>
    </row>
    <row r="524">
      <c r="D524" s="309"/>
      <c r="E524" s="309"/>
      <c r="F524" s="309"/>
      <c r="G524" s="309"/>
      <c r="H524" s="309"/>
      <c r="I524" s="309"/>
    </row>
    <row r="525">
      <c r="D525" s="309"/>
      <c r="E525" s="309"/>
      <c r="F525" s="309"/>
      <c r="G525" s="309"/>
      <c r="H525" s="309"/>
      <c r="I525" s="309"/>
    </row>
    <row r="526">
      <c r="D526" s="309"/>
      <c r="E526" s="309"/>
      <c r="F526" s="309"/>
      <c r="G526" s="309"/>
      <c r="H526" s="309"/>
      <c r="I526" s="309"/>
    </row>
    <row r="527">
      <c r="D527" s="309"/>
      <c r="E527" s="309"/>
      <c r="F527" s="309"/>
      <c r="G527" s="309"/>
      <c r="H527" s="309"/>
      <c r="I527" s="309"/>
    </row>
    <row r="528">
      <c r="D528" s="309"/>
      <c r="E528" s="309"/>
      <c r="F528" s="309"/>
      <c r="G528" s="309"/>
      <c r="H528" s="309"/>
      <c r="I528" s="309"/>
    </row>
    <row r="529">
      <c r="D529" s="309"/>
      <c r="E529" s="309"/>
      <c r="F529" s="309"/>
      <c r="G529" s="309"/>
      <c r="H529" s="309"/>
      <c r="I529" s="309"/>
    </row>
    <row r="530">
      <c r="D530" s="309"/>
      <c r="E530" s="309"/>
      <c r="F530" s="309"/>
      <c r="G530" s="309"/>
      <c r="H530" s="309"/>
      <c r="I530" s="309"/>
    </row>
    <row r="531">
      <c r="D531" s="309"/>
      <c r="E531" s="309"/>
      <c r="F531" s="309"/>
      <c r="G531" s="309"/>
      <c r="H531" s="309"/>
      <c r="I531" s="309"/>
    </row>
    <row r="532">
      <c r="D532" s="309"/>
      <c r="E532" s="309"/>
      <c r="F532" s="309"/>
      <c r="G532" s="309"/>
      <c r="H532" s="309"/>
      <c r="I532" s="309"/>
    </row>
    <row r="533">
      <c r="D533" s="309"/>
      <c r="E533" s="309"/>
      <c r="F533" s="309"/>
      <c r="G533" s="309"/>
      <c r="H533" s="309"/>
      <c r="I533" s="309"/>
    </row>
    <row r="534">
      <c r="D534" s="309"/>
      <c r="E534" s="309"/>
      <c r="F534" s="309"/>
      <c r="G534" s="309"/>
      <c r="H534" s="309"/>
      <c r="I534" s="309"/>
    </row>
    <row r="535">
      <c r="D535" s="309"/>
      <c r="E535" s="309"/>
      <c r="F535" s="309"/>
      <c r="G535" s="309"/>
      <c r="H535" s="309"/>
      <c r="I535" s="309"/>
    </row>
    <row r="536">
      <c r="D536" s="309"/>
      <c r="E536" s="309"/>
      <c r="F536" s="309"/>
      <c r="G536" s="309"/>
      <c r="H536" s="309"/>
      <c r="I536" s="309"/>
    </row>
    <row r="537">
      <c r="D537" s="309"/>
      <c r="E537" s="309"/>
      <c r="F537" s="309"/>
      <c r="G537" s="309"/>
      <c r="H537" s="309"/>
      <c r="I537" s="309"/>
    </row>
    <row r="538">
      <c r="D538" s="309"/>
      <c r="E538" s="309"/>
      <c r="F538" s="309"/>
      <c r="G538" s="309"/>
      <c r="H538" s="309"/>
      <c r="I538" s="309"/>
    </row>
    <row r="539">
      <c r="D539" s="309"/>
      <c r="E539" s="309"/>
      <c r="F539" s="309"/>
      <c r="G539" s="309"/>
      <c r="H539" s="309"/>
      <c r="I539" s="309"/>
    </row>
    <row r="540">
      <c r="D540" s="309"/>
      <c r="E540" s="309"/>
      <c r="F540" s="309"/>
      <c r="G540" s="309"/>
      <c r="H540" s="309"/>
      <c r="I540" s="309"/>
    </row>
    <row r="541">
      <c r="D541" s="309"/>
      <c r="E541" s="309"/>
      <c r="F541" s="309"/>
      <c r="G541" s="309"/>
      <c r="H541" s="309"/>
      <c r="I541" s="309"/>
    </row>
    <row r="542">
      <c r="D542" s="309"/>
      <c r="E542" s="309"/>
      <c r="F542" s="309"/>
      <c r="G542" s="309"/>
      <c r="H542" s="309"/>
      <c r="I542" s="309"/>
    </row>
    <row r="543">
      <c r="D543" s="309"/>
      <c r="E543" s="309"/>
      <c r="F543" s="309"/>
      <c r="G543" s="309"/>
      <c r="H543" s="309"/>
      <c r="I543" s="309"/>
    </row>
    <row r="544">
      <c r="D544" s="309"/>
      <c r="E544" s="309"/>
      <c r="F544" s="309"/>
      <c r="G544" s="309"/>
      <c r="H544" s="309"/>
      <c r="I544" s="309"/>
    </row>
    <row r="545">
      <c r="D545" s="309"/>
      <c r="E545" s="309"/>
      <c r="F545" s="309"/>
      <c r="G545" s="309"/>
      <c r="H545" s="309"/>
      <c r="I545" s="309"/>
    </row>
    <row r="546">
      <c r="D546" s="309"/>
      <c r="E546" s="309"/>
      <c r="F546" s="309"/>
      <c r="G546" s="309"/>
      <c r="H546" s="309"/>
      <c r="I546" s="309"/>
    </row>
    <row r="547">
      <c r="D547" s="309"/>
      <c r="E547" s="309"/>
      <c r="F547" s="309"/>
      <c r="G547" s="309"/>
      <c r="H547" s="309"/>
      <c r="I547" s="309"/>
    </row>
    <row r="548">
      <c r="D548" s="309"/>
      <c r="E548" s="309"/>
      <c r="F548" s="309"/>
      <c r="G548" s="309"/>
      <c r="H548" s="309"/>
      <c r="I548" s="309"/>
    </row>
    <row r="549">
      <c r="D549" s="309"/>
      <c r="E549" s="309"/>
      <c r="F549" s="309"/>
      <c r="G549" s="309"/>
      <c r="H549" s="309"/>
      <c r="I549" s="309"/>
    </row>
    <row r="550">
      <c r="D550" s="309"/>
      <c r="E550" s="309"/>
      <c r="F550" s="309"/>
      <c r="G550" s="309"/>
      <c r="H550" s="309"/>
      <c r="I550" s="309"/>
    </row>
    <row r="551">
      <c r="D551" s="309"/>
      <c r="E551" s="309"/>
      <c r="F551" s="309"/>
      <c r="G551" s="309"/>
      <c r="H551" s="309"/>
      <c r="I551" s="309"/>
    </row>
    <row r="552">
      <c r="D552" s="309"/>
      <c r="E552" s="309"/>
      <c r="F552" s="309"/>
      <c r="G552" s="309"/>
      <c r="H552" s="309"/>
      <c r="I552" s="309"/>
    </row>
    <row r="553">
      <c r="D553" s="309"/>
      <c r="E553" s="309"/>
      <c r="F553" s="309"/>
      <c r="G553" s="309"/>
      <c r="H553" s="309"/>
      <c r="I553" s="309"/>
    </row>
    <row r="554">
      <c r="D554" s="309"/>
      <c r="E554" s="309"/>
      <c r="F554" s="309"/>
      <c r="G554" s="309"/>
      <c r="H554" s="309"/>
      <c r="I554" s="309"/>
    </row>
    <row r="555">
      <c r="D555" s="309"/>
      <c r="E555" s="309"/>
      <c r="F555" s="309"/>
      <c r="G555" s="309"/>
      <c r="H555" s="309"/>
      <c r="I555" s="309"/>
    </row>
    <row r="556">
      <c r="D556" s="309"/>
      <c r="E556" s="309"/>
      <c r="F556" s="309"/>
      <c r="G556" s="309"/>
      <c r="H556" s="309"/>
      <c r="I556" s="309"/>
    </row>
    <row r="557">
      <c r="D557" s="309"/>
      <c r="E557" s="309"/>
      <c r="F557" s="309"/>
      <c r="G557" s="309"/>
      <c r="H557" s="309"/>
      <c r="I557" s="309"/>
    </row>
    <row r="558">
      <c r="D558" s="309"/>
      <c r="E558" s="309"/>
      <c r="F558" s="309"/>
      <c r="G558" s="309"/>
      <c r="H558" s="309"/>
      <c r="I558" s="309"/>
    </row>
    <row r="559">
      <c r="D559" s="309"/>
      <c r="E559" s="309"/>
      <c r="F559" s="309"/>
      <c r="G559" s="309"/>
      <c r="H559" s="309"/>
      <c r="I559" s="309"/>
    </row>
    <row r="560">
      <c r="D560" s="309"/>
      <c r="E560" s="309"/>
      <c r="F560" s="309"/>
      <c r="G560" s="309"/>
      <c r="H560" s="309"/>
      <c r="I560" s="309"/>
    </row>
    <row r="561">
      <c r="D561" s="309"/>
      <c r="E561" s="309"/>
      <c r="F561" s="309"/>
      <c r="G561" s="309"/>
      <c r="H561" s="309"/>
      <c r="I561" s="309"/>
    </row>
    <row r="562">
      <c r="D562" s="309"/>
      <c r="E562" s="309"/>
      <c r="F562" s="309"/>
      <c r="G562" s="309"/>
      <c r="H562" s="309"/>
      <c r="I562" s="309"/>
    </row>
    <row r="563">
      <c r="D563" s="309"/>
      <c r="E563" s="309"/>
      <c r="F563" s="309"/>
      <c r="G563" s="309"/>
      <c r="H563" s="309"/>
      <c r="I563" s="309"/>
    </row>
    <row r="564">
      <c r="D564" s="309"/>
      <c r="E564" s="309"/>
      <c r="F564" s="309"/>
      <c r="G564" s="309"/>
      <c r="H564" s="309"/>
      <c r="I564" s="309"/>
    </row>
    <row r="565">
      <c r="D565" s="309"/>
      <c r="E565" s="309"/>
      <c r="F565" s="309"/>
      <c r="G565" s="309"/>
      <c r="H565" s="309"/>
      <c r="I565" s="309"/>
    </row>
    <row r="566">
      <c r="D566" s="309"/>
      <c r="E566" s="309"/>
      <c r="F566" s="309"/>
      <c r="G566" s="309"/>
      <c r="H566" s="309"/>
      <c r="I566" s="309"/>
    </row>
    <row r="567">
      <c r="D567" s="309"/>
      <c r="E567" s="309"/>
      <c r="F567" s="309"/>
      <c r="G567" s="309"/>
      <c r="H567" s="309"/>
      <c r="I567" s="309"/>
    </row>
    <row r="568">
      <c r="D568" s="309"/>
      <c r="E568" s="309"/>
      <c r="F568" s="309"/>
      <c r="G568" s="309"/>
      <c r="H568" s="309"/>
      <c r="I568" s="309"/>
    </row>
    <row r="569">
      <c r="D569" s="309"/>
      <c r="E569" s="309"/>
      <c r="F569" s="309"/>
      <c r="G569" s="309"/>
      <c r="H569" s="309"/>
      <c r="I569" s="309"/>
    </row>
    <row r="570">
      <c r="D570" s="309"/>
      <c r="E570" s="309"/>
      <c r="F570" s="309"/>
      <c r="G570" s="309"/>
      <c r="H570" s="309"/>
      <c r="I570" s="309"/>
    </row>
    <row r="571">
      <c r="D571" s="309"/>
      <c r="E571" s="309"/>
      <c r="F571" s="309"/>
      <c r="G571" s="309"/>
      <c r="H571" s="309"/>
      <c r="I571" s="309"/>
    </row>
    <row r="572">
      <c r="D572" s="309"/>
      <c r="E572" s="309"/>
      <c r="F572" s="309"/>
      <c r="G572" s="309"/>
      <c r="H572" s="309"/>
      <c r="I572" s="309"/>
    </row>
    <row r="573">
      <c r="D573" s="309"/>
      <c r="E573" s="309"/>
      <c r="F573" s="309"/>
      <c r="G573" s="309"/>
      <c r="H573" s="309"/>
      <c r="I573" s="309"/>
    </row>
    <row r="574">
      <c r="D574" s="309"/>
      <c r="E574" s="309"/>
      <c r="F574" s="309"/>
      <c r="G574" s="309"/>
      <c r="H574" s="309"/>
      <c r="I574" s="309"/>
    </row>
    <row r="575">
      <c r="D575" s="309"/>
      <c r="E575" s="309"/>
      <c r="F575" s="309"/>
      <c r="G575" s="309"/>
      <c r="H575" s="309"/>
      <c r="I575" s="309"/>
    </row>
    <row r="576">
      <c r="D576" s="309"/>
      <c r="E576" s="309"/>
      <c r="F576" s="309"/>
      <c r="G576" s="309"/>
      <c r="H576" s="309"/>
      <c r="I576" s="309"/>
    </row>
    <row r="577">
      <c r="D577" s="309"/>
      <c r="E577" s="309"/>
      <c r="F577" s="309"/>
      <c r="G577" s="309"/>
      <c r="H577" s="309"/>
      <c r="I577" s="309"/>
    </row>
    <row r="578">
      <c r="D578" s="309"/>
      <c r="E578" s="309"/>
      <c r="F578" s="309"/>
      <c r="G578" s="309"/>
      <c r="H578" s="309"/>
      <c r="I578" s="309"/>
    </row>
    <row r="579">
      <c r="D579" s="309"/>
      <c r="E579" s="309"/>
      <c r="F579" s="309"/>
      <c r="G579" s="309"/>
      <c r="H579" s="309"/>
      <c r="I579" s="309"/>
    </row>
    <row r="580">
      <c r="D580" s="309"/>
      <c r="E580" s="309"/>
      <c r="F580" s="309"/>
      <c r="G580" s="309"/>
      <c r="H580" s="309"/>
      <c r="I580" s="309"/>
    </row>
    <row r="581">
      <c r="D581" s="309"/>
      <c r="E581" s="309"/>
      <c r="F581" s="309"/>
      <c r="G581" s="309"/>
      <c r="H581" s="309"/>
      <c r="I581" s="309"/>
    </row>
    <row r="582">
      <c r="D582" s="309"/>
      <c r="E582" s="309"/>
      <c r="F582" s="309"/>
      <c r="G582" s="309"/>
      <c r="H582" s="309"/>
      <c r="I582" s="309"/>
    </row>
    <row r="583">
      <c r="D583" s="309"/>
      <c r="E583" s="309"/>
      <c r="F583" s="309"/>
      <c r="G583" s="309"/>
      <c r="H583" s="309"/>
      <c r="I583" s="309"/>
    </row>
    <row r="584">
      <c r="D584" s="309"/>
      <c r="E584" s="309"/>
      <c r="F584" s="309"/>
      <c r="G584" s="309"/>
      <c r="H584" s="309"/>
      <c r="I584" s="309"/>
    </row>
    <row r="585">
      <c r="D585" s="309"/>
      <c r="E585" s="309"/>
      <c r="F585" s="309"/>
      <c r="G585" s="309"/>
      <c r="H585" s="309"/>
      <c r="I585" s="309"/>
    </row>
    <row r="586">
      <c r="D586" s="309"/>
      <c r="E586" s="309"/>
      <c r="F586" s="309"/>
      <c r="G586" s="309"/>
      <c r="H586" s="309"/>
      <c r="I586" s="309"/>
    </row>
    <row r="587">
      <c r="D587" s="309"/>
      <c r="E587" s="309"/>
      <c r="F587" s="309"/>
      <c r="G587" s="309"/>
      <c r="H587" s="309"/>
      <c r="I587" s="309"/>
    </row>
    <row r="588">
      <c r="D588" s="309"/>
      <c r="E588" s="309"/>
      <c r="F588" s="309"/>
      <c r="G588" s="309"/>
      <c r="H588" s="309"/>
      <c r="I588" s="309"/>
    </row>
    <row r="589">
      <c r="D589" s="309"/>
      <c r="E589" s="309"/>
      <c r="F589" s="309"/>
      <c r="G589" s="309"/>
      <c r="H589" s="309"/>
      <c r="I589" s="309"/>
    </row>
    <row r="590">
      <c r="D590" s="309"/>
      <c r="E590" s="309"/>
      <c r="F590" s="309"/>
      <c r="G590" s="309"/>
      <c r="H590" s="309"/>
      <c r="I590" s="309"/>
    </row>
    <row r="591">
      <c r="D591" s="309"/>
      <c r="E591" s="309"/>
      <c r="F591" s="309"/>
      <c r="G591" s="309"/>
      <c r="H591" s="309"/>
      <c r="I591" s="309"/>
    </row>
    <row r="592">
      <c r="D592" s="309"/>
      <c r="E592" s="309"/>
      <c r="F592" s="309"/>
      <c r="G592" s="309"/>
      <c r="H592" s="309"/>
      <c r="I592" s="309"/>
    </row>
    <row r="593">
      <c r="D593" s="309"/>
      <c r="E593" s="309"/>
      <c r="F593" s="309"/>
      <c r="G593" s="309"/>
      <c r="H593" s="309"/>
      <c r="I593" s="309"/>
    </row>
    <row r="594">
      <c r="D594" s="309"/>
      <c r="E594" s="309"/>
      <c r="F594" s="309"/>
      <c r="G594" s="309"/>
      <c r="H594" s="309"/>
      <c r="I594" s="309"/>
    </row>
    <row r="595">
      <c r="D595" s="309"/>
      <c r="E595" s="309"/>
      <c r="F595" s="309"/>
      <c r="G595" s="309"/>
      <c r="H595" s="309"/>
      <c r="I595" s="309"/>
    </row>
    <row r="596">
      <c r="D596" s="309"/>
      <c r="E596" s="309"/>
      <c r="F596" s="309"/>
      <c r="G596" s="309"/>
      <c r="H596" s="309"/>
      <c r="I596" s="309"/>
    </row>
    <row r="597">
      <c r="D597" s="309"/>
      <c r="E597" s="309"/>
      <c r="F597" s="309"/>
      <c r="G597" s="309"/>
      <c r="H597" s="309"/>
      <c r="I597" s="309"/>
    </row>
    <row r="598">
      <c r="D598" s="309"/>
      <c r="E598" s="309"/>
      <c r="F598" s="309"/>
      <c r="G598" s="309"/>
      <c r="H598" s="309"/>
      <c r="I598" s="309"/>
    </row>
    <row r="599">
      <c r="D599" s="309"/>
      <c r="E599" s="309"/>
      <c r="F599" s="309"/>
      <c r="G599" s="309"/>
      <c r="H599" s="309"/>
      <c r="I599" s="309"/>
    </row>
    <row r="600">
      <c r="D600" s="309"/>
      <c r="E600" s="309"/>
      <c r="F600" s="309"/>
      <c r="G600" s="309"/>
      <c r="H600" s="309"/>
      <c r="I600" s="309"/>
    </row>
    <row r="601">
      <c r="D601" s="309"/>
      <c r="E601" s="309"/>
      <c r="F601" s="309"/>
      <c r="G601" s="309"/>
      <c r="H601" s="309"/>
      <c r="I601" s="309"/>
    </row>
    <row r="602">
      <c r="D602" s="309"/>
      <c r="E602" s="309"/>
      <c r="F602" s="309"/>
      <c r="G602" s="309"/>
      <c r="H602" s="309"/>
      <c r="I602" s="309"/>
    </row>
    <row r="603">
      <c r="D603" s="309"/>
      <c r="E603" s="309"/>
      <c r="F603" s="309"/>
      <c r="G603" s="309"/>
      <c r="H603" s="309"/>
      <c r="I603" s="309"/>
    </row>
    <row r="604">
      <c r="D604" s="309"/>
      <c r="E604" s="309"/>
      <c r="F604" s="309"/>
      <c r="G604" s="309"/>
      <c r="H604" s="309"/>
      <c r="I604" s="309"/>
    </row>
    <row r="605">
      <c r="D605" s="309"/>
      <c r="E605" s="309"/>
      <c r="F605" s="309"/>
      <c r="G605" s="309"/>
      <c r="H605" s="309"/>
      <c r="I605" s="309"/>
    </row>
    <row r="606">
      <c r="D606" s="309"/>
      <c r="E606" s="309"/>
      <c r="F606" s="309"/>
      <c r="G606" s="309"/>
      <c r="H606" s="309"/>
      <c r="I606" s="309"/>
    </row>
    <row r="607">
      <c r="D607" s="309"/>
      <c r="E607" s="309"/>
      <c r="F607" s="309"/>
      <c r="G607" s="309"/>
      <c r="H607" s="309"/>
      <c r="I607" s="309"/>
    </row>
    <row r="608">
      <c r="D608" s="309"/>
      <c r="E608" s="309"/>
      <c r="F608" s="309"/>
      <c r="G608" s="309"/>
      <c r="H608" s="309"/>
      <c r="I608" s="309"/>
    </row>
    <row r="609">
      <c r="D609" s="309"/>
      <c r="E609" s="309"/>
      <c r="F609" s="309"/>
      <c r="G609" s="309"/>
      <c r="H609" s="309"/>
      <c r="I609" s="309"/>
    </row>
    <row r="610">
      <c r="D610" s="309"/>
      <c r="E610" s="309"/>
      <c r="F610" s="309"/>
      <c r="G610" s="309"/>
      <c r="H610" s="309"/>
      <c r="I610" s="309"/>
    </row>
    <row r="611">
      <c r="D611" s="309"/>
      <c r="E611" s="309"/>
      <c r="F611" s="309"/>
      <c r="G611" s="309"/>
      <c r="H611" s="309"/>
      <c r="I611" s="309"/>
    </row>
    <row r="612">
      <c r="D612" s="309"/>
      <c r="E612" s="309"/>
      <c r="F612" s="309"/>
      <c r="G612" s="309"/>
      <c r="H612" s="309"/>
      <c r="I612" s="309"/>
    </row>
    <row r="613">
      <c r="D613" s="309"/>
      <c r="E613" s="309"/>
      <c r="F613" s="309"/>
      <c r="G613" s="309"/>
      <c r="H613" s="309"/>
      <c r="I613" s="309"/>
    </row>
    <row r="614">
      <c r="D614" s="309"/>
      <c r="E614" s="309"/>
      <c r="F614" s="309"/>
      <c r="G614" s="309"/>
      <c r="H614" s="309"/>
      <c r="I614" s="309"/>
    </row>
    <row r="615">
      <c r="D615" s="309"/>
      <c r="E615" s="309"/>
      <c r="F615" s="309"/>
      <c r="G615" s="309"/>
      <c r="H615" s="309"/>
      <c r="I615" s="309"/>
    </row>
    <row r="616">
      <c r="D616" s="309"/>
      <c r="E616" s="309"/>
      <c r="F616" s="309"/>
      <c r="G616" s="309"/>
      <c r="H616" s="309"/>
      <c r="I616" s="309"/>
    </row>
    <row r="617">
      <c r="D617" s="309"/>
      <c r="E617" s="309"/>
      <c r="F617" s="309"/>
      <c r="G617" s="309"/>
      <c r="H617" s="309"/>
      <c r="I617" s="309"/>
    </row>
    <row r="618">
      <c r="D618" s="309"/>
      <c r="E618" s="309"/>
      <c r="F618" s="309"/>
      <c r="G618" s="309"/>
      <c r="H618" s="309"/>
      <c r="I618" s="309"/>
    </row>
    <row r="619">
      <c r="D619" s="309"/>
      <c r="E619" s="309"/>
      <c r="F619" s="309"/>
      <c r="G619" s="309"/>
      <c r="H619" s="309"/>
      <c r="I619" s="309"/>
    </row>
    <row r="620">
      <c r="D620" s="309"/>
      <c r="E620" s="309"/>
      <c r="F620" s="309"/>
      <c r="G620" s="309"/>
      <c r="H620" s="309"/>
      <c r="I620" s="309"/>
    </row>
    <row r="621">
      <c r="D621" s="309"/>
      <c r="E621" s="309"/>
      <c r="F621" s="309"/>
      <c r="G621" s="309"/>
      <c r="H621" s="309"/>
      <c r="I621" s="309"/>
    </row>
    <row r="622">
      <c r="D622" s="309"/>
      <c r="E622" s="309"/>
      <c r="F622" s="309"/>
      <c r="G622" s="309"/>
      <c r="H622" s="309"/>
      <c r="I622" s="309"/>
    </row>
    <row r="623">
      <c r="D623" s="309"/>
      <c r="E623" s="309"/>
      <c r="F623" s="309"/>
      <c r="G623" s="309"/>
      <c r="H623" s="309"/>
      <c r="I623" s="309"/>
    </row>
    <row r="624">
      <c r="D624" s="309"/>
      <c r="E624" s="309"/>
      <c r="F624" s="309"/>
      <c r="G624" s="309"/>
      <c r="H624" s="309"/>
      <c r="I624" s="309"/>
    </row>
    <row r="625">
      <c r="D625" s="309"/>
      <c r="E625" s="309"/>
      <c r="F625" s="309"/>
      <c r="G625" s="309"/>
      <c r="H625" s="309"/>
      <c r="I625" s="309"/>
    </row>
    <row r="626">
      <c r="D626" s="309"/>
      <c r="E626" s="309"/>
      <c r="F626" s="309"/>
      <c r="G626" s="309"/>
      <c r="H626" s="309"/>
      <c r="I626" s="309"/>
    </row>
    <row r="627">
      <c r="D627" s="309"/>
      <c r="E627" s="309"/>
      <c r="F627" s="309"/>
      <c r="G627" s="309"/>
      <c r="H627" s="309"/>
      <c r="I627" s="309"/>
    </row>
    <row r="628">
      <c r="D628" s="309"/>
      <c r="E628" s="309"/>
      <c r="F628" s="309"/>
      <c r="G628" s="309"/>
      <c r="H628" s="309"/>
      <c r="I628" s="309"/>
    </row>
    <row r="629">
      <c r="D629" s="309"/>
      <c r="E629" s="309"/>
      <c r="F629" s="309"/>
      <c r="G629" s="309"/>
      <c r="H629" s="309"/>
      <c r="I629" s="309"/>
    </row>
    <row r="630">
      <c r="D630" s="309"/>
      <c r="E630" s="309"/>
      <c r="F630" s="309"/>
      <c r="G630" s="309"/>
      <c r="H630" s="309"/>
      <c r="I630" s="309"/>
    </row>
    <row r="631">
      <c r="D631" s="309"/>
      <c r="E631" s="309"/>
      <c r="F631" s="309"/>
      <c r="G631" s="309"/>
      <c r="H631" s="309"/>
      <c r="I631" s="309"/>
    </row>
    <row r="632">
      <c r="D632" s="309"/>
      <c r="E632" s="309"/>
      <c r="F632" s="309"/>
      <c r="G632" s="309"/>
      <c r="H632" s="309"/>
      <c r="I632" s="309"/>
    </row>
    <row r="633">
      <c r="D633" s="309"/>
      <c r="E633" s="309"/>
      <c r="F633" s="309"/>
      <c r="G633" s="309"/>
      <c r="H633" s="309"/>
      <c r="I633" s="309"/>
    </row>
    <row r="634">
      <c r="D634" s="309"/>
      <c r="E634" s="309"/>
      <c r="F634" s="309"/>
      <c r="G634" s="309"/>
      <c r="H634" s="309"/>
      <c r="I634" s="309"/>
    </row>
    <row r="635">
      <c r="D635" s="309"/>
      <c r="E635" s="309"/>
      <c r="F635" s="309"/>
      <c r="G635" s="309"/>
      <c r="H635" s="309"/>
      <c r="I635" s="309"/>
    </row>
    <row r="636">
      <c r="D636" s="309"/>
      <c r="E636" s="309"/>
      <c r="F636" s="309"/>
      <c r="G636" s="309"/>
      <c r="H636" s="309"/>
      <c r="I636" s="309"/>
    </row>
    <row r="637">
      <c r="D637" s="309"/>
      <c r="E637" s="309"/>
      <c r="F637" s="309"/>
      <c r="G637" s="309"/>
      <c r="H637" s="309"/>
      <c r="I637" s="309"/>
    </row>
    <row r="638">
      <c r="D638" s="309"/>
      <c r="E638" s="309"/>
      <c r="F638" s="309"/>
      <c r="G638" s="309"/>
      <c r="H638" s="309"/>
      <c r="I638" s="309"/>
    </row>
    <row r="639">
      <c r="D639" s="309"/>
      <c r="E639" s="309"/>
      <c r="F639" s="309"/>
      <c r="G639" s="309"/>
      <c r="H639" s="309"/>
      <c r="I639" s="309"/>
    </row>
    <row r="640">
      <c r="D640" s="309"/>
      <c r="E640" s="309"/>
      <c r="F640" s="309"/>
      <c r="G640" s="309"/>
      <c r="H640" s="309"/>
      <c r="I640" s="309"/>
    </row>
    <row r="641">
      <c r="D641" s="309"/>
      <c r="E641" s="309"/>
      <c r="F641" s="309"/>
      <c r="G641" s="309"/>
      <c r="H641" s="309"/>
      <c r="I641" s="309"/>
    </row>
    <row r="642">
      <c r="D642" s="309"/>
      <c r="E642" s="309"/>
      <c r="F642" s="309"/>
      <c r="G642" s="309"/>
      <c r="H642" s="309"/>
      <c r="I642" s="309"/>
    </row>
    <row r="643">
      <c r="D643" s="309"/>
      <c r="E643" s="309"/>
      <c r="F643" s="309"/>
      <c r="G643" s="309"/>
      <c r="H643" s="309"/>
      <c r="I643" s="309"/>
    </row>
    <row r="644">
      <c r="D644" s="309"/>
      <c r="E644" s="309"/>
      <c r="F644" s="309"/>
      <c r="G644" s="309"/>
      <c r="H644" s="309"/>
      <c r="I644" s="309"/>
    </row>
    <row r="645">
      <c r="D645" s="309"/>
      <c r="E645" s="309"/>
      <c r="F645" s="309"/>
      <c r="G645" s="309"/>
      <c r="H645" s="309"/>
      <c r="I645" s="309"/>
    </row>
    <row r="646">
      <c r="D646" s="309"/>
      <c r="E646" s="309"/>
      <c r="F646" s="309"/>
      <c r="G646" s="309"/>
      <c r="H646" s="309"/>
      <c r="I646" s="309"/>
    </row>
    <row r="647">
      <c r="D647" s="309"/>
      <c r="E647" s="309"/>
      <c r="F647" s="309"/>
      <c r="G647" s="309"/>
      <c r="H647" s="309"/>
      <c r="I647" s="309"/>
    </row>
    <row r="648">
      <c r="D648" s="309"/>
      <c r="E648" s="309"/>
      <c r="F648" s="309"/>
      <c r="G648" s="309"/>
      <c r="H648" s="309"/>
      <c r="I648" s="309"/>
    </row>
    <row r="649">
      <c r="D649" s="309"/>
      <c r="E649" s="309"/>
      <c r="F649" s="309"/>
      <c r="G649" s="309"/>
      <c r="H649" s="309"/>
      <c r="I649" s="309"/>
    </row>
    <row r="650">
      <c r="D650" s="309"/>
      <c r="E650" s="309"/>
      <c r="F650" s="309"/>
      <c r="G650" s="309"/>
      <c r="H650" s="309"/>
      <c r="I650" s="309"/>
    </row>
    <row r="651">
      <c r="D651" s="309"/>
      <c r="E651" s="309"/>
      <c r="F651" s="309"/>
      <c r="G651" s="309"/>
      <c r="H651" s="309"/>
      <c r="I651" s="309"/>
    </row>
    <row r="652">
      <c r="D652" s="309"/>
      <c r="E652" s="309"/>
      <c r="F652" s="309"/>
      <c r="G652" s="309"/>
      <c r="H652" s="309"/>
      <c r="I652" s="309"/>
    </row>
    <row r="653">
      <c r="D653" s="309"/>
      <c r="E653" s="309"/>
      <c r="F653" s="309"/>
      <c r="G653" s="309"/>
      <c r="H653" s="309"/>
      <c r="I653" s="309"/>
    </row>
    <row r="654">
      <c r="D654" s="309"/>
      <c r="E654" s="309"/>
      <c r="F654" s="309"/>
      <c r="G654" s="309"/>
      <c r="H654" s="309"/>
      <c r="I654" s="309"/>
    </row>
    <row r="655">
      <c r="D655" s="309"/>
      <c r="E655" s="309"/>
      <c r="F655" s="309"/>
      <c r="G655" s="309"/>
      <c r="H655" s="309"/>
      <c r="I655" s="309"/>
    </row>
    <row r="656">
      <c r="D656" s="309"/>
      <c r="E656" s="309"/>
      <c r="F656" s="309"/>
      <c r="G656" s="309"/>
      <c r="H656" s="309"/>
      <c r="I656" s="309"/>
    </row>
    <row r="657">
      <c r="D657" s="309"/>
      <c r="E657" s="309"/>
      <c r="F657" s="309"/>
      <c r="G657" s="309"/>
      <c r="H657" s="309"/>
      <c r="I657" s="309"/>
    </row>
    <row r="658">
      <c r="D658" s="309"/>
      <c r="E658" s="309"/>
      <c r="F658" s="309"/>
      <c r="G658" s="309"/>
      <c r="H658" s="309"/>
      <c r="I658" s="309"/>
    </row>
    <row r="659">
      <c r="D659" s="309"/>
      <c r="E659" s="309"/>
      <c r="F659" s="309"/>
      <c r="G659" s="309"/>
      <c r="H659" s="309"/>
      <c r="I659" s="309"/>
    </row>
    <row r="660">
      <c r="D660" s="309"/>
      <c r="E660" s="309"/>
      <c r="F660" s="309"/>
      <c r="G660" s="309"/>
      <c r="H660" s="309"/>
      <c r="I660" s="309"/>
    </row>
    <row r="661">
      <c r="D661" s="309"/>
      <c r="E661" s="309"/>
      <c r="F661" s="309"/>
      <c r="G661" s="309"/>
      <c r="H661" s="309"/>
      <c r="I661" s="309"/>
    </row>
    <row r="662">
      <c r="D662" s="309"/>
      <c r="E662" s="309"/>
      <c r="F662" s="309"/>
      <c r="G662" s="309"/>
      <c r="H662" s="309"/>
      <c r="I662" s="309"/>
    </row>
    <row r="663">
      <c r="D663" s="309"/>
      <c r="E663" s="309"/>
      <c r="F663" s="309"/>
      <c r="G663" s="309"/>
      <c r="H663" s="309"/>
      <c r="I663" s="309"/>
    </row>
    <row r="664">
      <c r="D664" s="309"/>
      <c r="E664" s="309"/>
      <c r="F664" s="309"/>
      <c r="G664" s="309"/>
      <c r="H664" s="309"/>
      <c r="I664" s="309"/>
    </row>
    <row r="665">
      <c r="D665" s="309"/>
      <c r="E665" s="309"/>
      <c r="F665" s="309"/>
      <c r="G665" s="309"/>
      <c r="H665" s="309"/>
      <c r="I665" s="309"/>
    </row>
    <row r="666">
      <c r="D666" s="309"/>
      <c r="E666" s="309"/>
      <c r="F666" s="309"/>
      <c r="G666" s="309"/>
      <c r="H666" s="309"/>
      <c r="I666" s="309"/>
    </row>
    <row r="667">
      <c r="D667" s="309"/>
      <c r="E667" s="309"/>
      <c r="F667" s="309"/>
      <c r="G667" s="309"/>
      <c r="H667" s="309"/>
      <c r="I667" s="309"/>
    </row>
    <row r="668">
      <c r="D668" s="309"/>
      <c r="E668" s="309"/>
      <c r="F668" s="309"/>
      <c r="G668" s="309"/>
      <c r="H668" s="309"/>
      <c r="I668" s="309"/>
    </row>
    <row r="669">
      <c r="D669" s="309"/>
      <c r="E669" s="309"/>
      <c r="F669" s="309"/>
      <c r="G669" s="309"/>
      <c r="H669" s="309"/>
      <c r="I669" s="309"/>
    </row>
    <row r="670">
      <c r="D670" s="309"/>
      <c r="E670" s="309"/>
      <c r="F670" s="309"/>
      <c r="G670" s="309"/>
      <c r="H670" s="309"/>
      <c r="I670" s="309"/>
    </row>
    <row r="671">
      <c r="D671" s="309"/>
      <c r="E671" s="309"/>
      <c r="F671" s="309"/>
      <c r="G671" s="309"/>
      <c r="H671" s="309"/>
      <c r="I671" s="309"/>
    </row>
    <row r="672">
      <c r="D672" s="309"/>
      <c r="E672" s="309"/>
      <c r="F672" s="309"/>
      <c r="G672" s="309"/>
      <c r="H672" s="309"/>
      <c r="I672" s="309"/>
    </row>
    <row r="673">
      <c r="D673" s="309"/>
      <c r="E673" s="309"/>
      <c r="F673" s="309"/>
      <c r="G673" s="309"/>
      <c r="H673" s="309"/>
      <c r="I673" s="309"/>
    </row>
    <row r="674">
      <c r="D674" s="309"/>
      <c r="E674" s="309"/>
      <c r="F674" s="309"/>
      <c r="G674" s="309"/>
      <c r="H674" s="309"/>
      <c r="I674" s="309"/>
    </row>
    <row r="675">
      <c r="D675" s="309"/>
      <c r="E675" s="309"/>
      <c r="F675" s="309"/>
      <c r="G675" s="309"/>
      <c r="H675" s="309"/>
      <c r="I675" s="309"/>
    </row>
    <row r="676">
      <c r="D676" s="309"/>
      <c r="E676" s="309"/>
      <c r="F676" s="309"/>
      <c r="G676" s="309"/>
      <c r="H676" s="309"/>
      <c r="I676" s="309"/>
    </row>
    <row r="677">
      <c r="D677" s="309"/>
      <c r="E677" s="309"/>
      <c r="F677" s="309"/>
      <c r="G677" s="309"/>
      <c r="H677" s="309"/>
      <c r="I677" s="309"/>
    </row>
    <row r="678">
      <c r="D678" s="309"/>
      <c r="E678" s="309"/>
      <c r="F678" s="309"/>
      <c r="G678" s="309"/>
      <c r="H678" s="309"/>
      <c r="I678" s="309"/>
    </row>
    <row r="679">
      <c r="D679" s="309"/>
      <c r="E679" s="309"/>
      <c r="F679" s="309"/>
      <c r="G679" s="309"/>
      <c r="H679" s="309"/>
      <c r="I679" s="309"/>
    </row>
    <row r="680">
      <c r="D680" s="309"/>
      <c r="E680" s="309"/>
      <c r="F680" s="309"/>
      <c r="G680" s="309"/>
      <c r="H680" s="309"/>
      <c r="I680" s="309"/>
    </row>
    <row r="681">
      <c r="D681" s="309"/>
      <c r="E681" s="309"/>
      <c r="F681" s="309"/>
      <c r="G681" s="309"/>
      <c r="H681" s="309"/>
      <c r="I681" s="309"/>
    </row>
    <row r="682">
      <c r="D682" s="309"/>
      <c r="E682" s="309"/>
      <c r="F682" s="309"/>
      <c r="G682" s="309"/>
      <c r="H682" s="309"/>
      <c r="I682" s="309"/>
    </row>
    <row r="683">
      <c r="D683" s="309"/>
      <c r="E683" s="309"/>
      <c r="F683" s="309"/>
      <c r="G683" s="309"/>
      <c r="H683" s="309"/>
      <c r="I683" s="309"/>
    </row>
    <row r="684">
      <c r="D684" s="309"/>
      <c r="E684" s="309"/>
      <c r="F684" s="309"/>
      <c r="G684" s="309"/>
      <c r="H684" s="309"/>
      <c r="I684" s="309"/>
    </row>
    <row r="685">
      <c r="D685" s="309"/>
      <c r="E685" s="309"/>
      <c r="F685" s="309"/>
      <c r="G685" s="309"/>
      <c r="H685" s="309"/>
      <c r="I685" s="309"/>
    </row>
    <row r="686">
      <c r="D686" s="309"/>
      <c r="E686" s="309"/>
      <c r="F686" s="309"/>
      <c r="G686" s="309"/>
      <c r="H686" s="309"/>
      <c r="I686" s="309"/>
    </row>
    <row r="687">
      <c r="D687" s="309"/>
      <c r="E687" s="309"/>
      <c r="F687" s="309"/>
      <c r="G687" s="309"/>
      <c r="H687" s="309"/>
      <c r="I687" s="309"/>
    </row>
    <row r="688">
      <c r="D688" s="309"/>
      <c r="E688" s="309"/>
      <c r="F688" s="309"/>
      <c r="G688" s="309"/>
      <c r="H688" s="309"/>
      <c r="I688" s="309"/>
    </row>
    <row r="689">
      <c r="D689" s="309"/>
      <c r="E689" s="309"/>
      <c r="F689" s="309"/>
      <c r="G689" s="309"/>
      <c r="H689" s="309"/>
      <c r="I689" s="309"/>
    </row>
    <row r="690">
      <c r="D690" s="309"/>
      <c r="E690" s="309"/>
      <c r="F690" s="309"/>
      <c r="G690" s="309"/>
      <c r="H690" s="309"/>
      <c r="I690" s="309"/>
    </row>
    <row r="691">
      <c r="D691" s="309"/>
      <c r="E691" s="309"/>
      <c r="F691" s="309"/>
      <c r="G691" s="309"/>
      <c r="H691" s="309"/>
      <c r="I691" s="309"/>
    </row>
    <row r="692">
      <c r="D692" s="309"/>
      <c r="E692" s="309"/>
      <c r="F692" s="309"/>
      <c r="G692" s="309"/>
      <c r="H692" s="309"/>
      <c r="I692" s="309"/>
    </row>
    <row r="693">
      <c r="D693" s="309"/>
      <c r="E693" s="309"/>
      <c r="F693" s="309"/>
      <c r="G693" s="309"/>
      <c r="H693" s="309"/>
      <c r="I693" s="309"/>
    </row>
    <row r="694">
      <c r="D694" s="309"/>
      <c r="E694" s="309"/>
      <c r="F694" s="309"/>
      <c r="G694" s="309"/>
      <c r="H694" s="309"/>
      <c r="I694" s="309"/>
    </row>
    <row r="695">
      <c r="D695" s="309"/>
      <c r="E695" s="309"/>
      <c r="F695" s="309"/>
      <c r="G695" s="309"/>
      <c r="H695" s="309"/>
      <c r="I695" s="309"/>
    </row>
    <row r="696">
      <c r="D696" s="309"/>
      <c r="E696" s="309"/>
      <c r="F696" s="309"/>
      <c r="G696" s="309"/>
      <c r="H696" s="309"/>
      <c r="I696" s="309"/>
    </row>
    <row r="697">
      <c r="D697" s="309"/>
      <c r="E697" s="309"/>
      <c r="F697" s="309"/>
      <c r="G697" s="309"/>
      <c r="H697" s="309"/>
      <c r="I697" s="309"/>
    </row>
    <row r="698">
      <c r="D698" s="309"/>
      <c r="E698" s="309"/>
      <c r="F698" s="309"/>
      <c r="G698" s="309"/>
      <c r="H698" s="309"/>
      <c r="I698" s="309"/>
    </row>
    <row r="699">
      <c r="D699" s="309"/>
      <c r="E699" s="309"/>
      <c r="F699" s="309"/>
      <c r="G699" s="309"/>
      <c r="H699" s="309"/>
      <c r="I699" s="309"/>
    </row>
    <row r="700">
      <c r="D700" s="309"/>
      <c r="E700" s="309"/>
      <c r="F700" s="309"/>
      <c r="G700" s="309"/>
      <c r="H700" s="309"/>
      <c r="I700" s="309"/>
    </row>
    <row r="701">
      <c r="D701" s="309"/>
      <c r="E701" s="309"/>
      <c r="F701" s="309"/>
      <c r="G701" s="309"/>
      <c r="H701" s="309"/>
      <c r="I701" s="309"/>
    </row>
    <row r="702">
      <c r="D702" s="309"/>
      <c r="E702" s="309"/>
      <c r="F702" s="309"/>
      <c r="G702" s="309"/>
      <c r="H702" s="309"/>
      <c r="I702" s="309"/>
    </row>
    <row r="703">
      <c r="D703" s="309"/>
      <c r="E703" s="309"/>
      <c r="F703" s="309"/>
      <c r="G703" s="309"/>
      <c r="H703" s="309"/>
      <c r="I703" s="309"/>
    </row>
    <row r="704">
      <c r="D704" s="309"/>
      <c r="E704" s="309"/>
      <c r="F704" s="309"/>
      <c r="G704" s="309"/>
      <c r="H704" s="309"/>
      <c r="I704" s="309"/>
    </row>
    <row r="705">
      <c r="D705" s="309"/>
      <c r="E705" s="309"/>
      <c r="F705" s="309"/>
      <c r="G705" s="309"/>
      <c r="H705" s="309"/>
      <c r="I705" s="309"/>
    </row>
    <row r="706">
      <c r="D706" s="309"/>
      <c r="E706" s="309"/>
      <c r="F706" s="309"/>
      <c r="G706" s="309"/>
      <c r="H706" s="309"/>
      <c r="I706" s="309"/>
    </row>
    <row r="707">
      <c r="D707" s="309"/>
      <c r="E707" s="309"/>
      <c r="F707" s="309"/>
      <c r="G707" s="309"/>
      <c r="H707" s="309"/>
      <c r="I707" s="309"/>
    </row>
    <row r="708">
      <c r="D708" s="309"/>
      <c r="E708" s="309"/>
      <c r="F708" s="309"/>
      <c r="G708" s="309"/>
      <c r="H708" s="309"/>
      <c r="I708" s="309"/>
    </row>
    <row r="709">
      <c r="D709" s="309"/>
      <c r="E709" s="309"/>
      <c r="F709" s="309"/>
      <c r="G709" s="309"/>
      <c r="H709" s="309"/>
      <c r="I709" s="309"/>
    </row>
    <row r="710">
      <c r="D710" s="309"/>
      <c r="E710" s="309"/>
      <c r="F710" s="309"/>
      <c r="G710" s="309"/>
      <c r="H710" s="309"/>
      <c r="I710" s="309"/>
    </row>
    <row r="711">
      <c r="D711" s="309"/>
      <c r="E711" s="309"/>
      <c r="F711" s="309"/>
      <c r="G711" s="309"/>
      <c r="H711" s="309"/>
      <c r="I711" s="309"/>
    </row>
    <row r="712">
      <c r="D712" s="309"/>
      <c r="E712" s="309"/>
      <c r="F712" s="309"/>
      <c r="G712" s="309"/>
      <c r="H712" s="309"/>
      <c r="I712" s="309"/>
    </row>
    <row r="713">
      <c r="D713" s="309"/>
      <c r="E713" s="309"/>
      <c r="F713" s="309"/>
      <c r="G713" s="309"/>
      <c r="H713" s="309"/>
      <c r="I713" s="309"/>
    </row>
    <row r="714">
      <c r="D714" s="309"/>
      <c r="E714" s="309"/>
      <c r="F714" s="309"/>
      <c r="G714" s="309"/>
      <c r="H714" s="309"/>
      <c r="I714" s="309"/>
    </row>
    <row r="715">
      <c r="D715" s="309"/>
      <c r="E715" s="309"/>
      <c r="F715" s="309"/>
      <c r="G715" s="309"/>
      <c r="H715" s="309"/>
      <c r="I715" s="309"/>
    </row>
    <row r="716">
      <c r="D716" s="309"/>
      <c r="E716" s="309"/>
      <c r="F716" s="309"/>
      <c r="G716" s="309"/>
      <c r="H716" s="309"/>
      <c r="I716" s="309"/>
    </row>
    <row r="717">
      <c r="D717" s="309"/>
      <c r="E717" s="309"/>
      <c r="F717" s="309"/>
      <c r="G717" s="309"/>
      <c r="H717" s="309"/>
      <c r="I717" s="309"/>
    </row>
    <row r="718">
      <c r="D718" s="309"/>
      <c r="E718" s="309"/>
      <c r="F718" s="309"/>
      <c r="G718" s="309"/>
      <c r="H718" s="309"/>
      <c r="I718" s="309"/>
    </row>
    <row r="719">
      <c r="D719" s="309"/>
      <c r="E719" s="309"/>
      <c r="F719" s="309"/>
      <c r="G719" s="309"/>
      <c r="H719" s="309"/>
      <c r="I719" s="309"/>
    </row>
    <row r="720">
      <c r="D720" s="309"/>
      <c r="E720" s="309"/>
      <c r="F720" s="309"/>
      <c r="G720" s="309"/>
      <c r="H720" s="309"/>
      <c r="I720" s="309"/>
    </row>
    <row r="721">
      <c r="D721" s="309"/>
      <c r="E721" s="309"/>
      <c r="F721" s="309"/>
      <c r="G721" s="309"/>
      <c r="H721" s="309"/>
      <c r="I721" s="309"/>
    </row>
    <row r="722">
      <c r="D722" s="309"/>
      <c r="E722" s="309"/>
      <c r="F722" s="309"/>
      <c r="G722" s="309"/>
      <c r="H722" s="309"/>
      <c r="I722" s="309"/>
    </row>
    <row r="723">
      <c r="D723" s="309"/>
      <c r="E723" s="309"/>
      <c r="F723" s="309"/>
      <c r="G723" s="309"/>
      <c r="H723" s="309"/>
      <c r="I723" s="309"/>
    </row>
    <row r="724">
      <c r="D724" s="309"/>
      <c r="E724" s="309"/>
      <c r="F724" s="309"/>
      <c r="G724" s="309"/>
      <c r="H724" s="309"/>
      <c r="I724" s="309"/>
    </row>
    <row r="725">
      <c r="D725" s="309"/>
      <c r="E725" s="309"/>
      <c r="F725" s="309"/>
      <c r="G725" s="309"/>
      <c r="H725" s="309"/>
      <c r="I725" s="309"/>
    </row>
    <row r="726">
      <c r="D726" s="309"/>
      <c r="E726" s="309"/>
      <c r="F726" s="309"/>
      <c r="G726" s="309"/>
      <c r="H726" s="309"/>
      <c r="I726" s="309"/>
    </row>
    <row r="727">
      <c r="D727" s="309"/>
      <c r="E727" s="309"/>
      <c r="F727" s="309"/>
      <c r="G727" s="309"/>
      <c r="H727" s="309"/>
      <c r="I727" s="309"/>
    </row>
    <row r="728">
      <c r="D728" s="309"/>
      <c r="E728" s="309"/>
      <c r="F728" s="309"/>
      <c r="G728" s="309"/>
      <c r="H728" s="309"/>
      <c r="I728" s="309"/>
    </row>
    <row r="729">
      <c r="D729" s="309"/>
      <c r="E729" s="309"/>
      <c r="F729" s="309"/>
      <c r="G729" s="309"/>
      <c r="H729" s="309"/>
      <c r="I729" s="309"/>
    </row>
    <row r="730">
      <c r="D730" s="309"/>
      <c r="E730" s="309"/>
      <c r="F730" s="309"/>
      <c r="G730" s="309"/>
      <c r="H730" s="309"/>
      <c r="I730" s="309"/>
    </row>
    <row r="731">
      <c r="D731" s="309"/>
      <c r="E731" s="309"/>
      <c r="F731" s="309"/>
      <c r="G731" s="309"/>
      <c r="H731" s="309"/>
      <c r="I731" s="309"/>
    </row>
    <row r="732">
      <c r="D732" s="309"/>
      <c r="E732" s="309"/>
      <c r="F732" s="309"/>
      <c r="G732" s="309"/>
      <c r="H732" s="309"/>
      <c r="I732" s="309"/>
    </row>
    <row r="733">
      <c r="D733" s="309"/>
      <c r="E733" s="309"/>
      <c r="F733" s="309"/>
      <c r="G733" s="309"/>
      <c r="H733" s="309"/>
      <c r="I733" s="309"/>
    </row>
    <row r="734">
      <c r="D734" s="309"/>
      <c r="E734" s="309"/>
      <c r="F734" s="309"/>
      <c r="G734" s="309"/>
      <c r="H734" s="309"/>
      <c r="I734" s="309"/>
    </row>
    <row r="735">
      <c r="D735" s="309"/>
      <c r="E735" s="309"/>
      <c r="F735" s="309"/>
      <c r="G735" s="309"/>
      <c r="H735" s="309"/>
      <c r="I735" s="309"/>
    </row>
    <row r="736">
      <c r="D736" s="309"/>
      <c r="E736" s="309"/>
      <c r="F736" s="309"/>
      <c r="G736" s="309"/>
      <c r="H736" s="309"/>
      <c r="I736" s="309"/>
    </row>
    <row r="737">
      <c r="D737" s="309"/>
      <c r="E737" s="309"/>
      <c r="F737" s="309"/>
      <c r="G737" s="309"/>
      <c r="H737" s="309"/>
      <c r="I737" s="309"/>
    </row>
    <row r="738">
      <c r="D738" s="309"/>
      <c r="E738" s="309"/>
      <c r="F738" s="309"/>
      <c r="G738" s="309"/>
      <c r="H738" s="309"/>
      <c r="I738" s="309"/>
    </row>
    <row r="739">
      <c r="D739" s="309"/>
      <c r="E739" s="309"/>
      <c r="F739" s="309"/>
      <c r="G739" s="309"/>
      <c r="H739" s="309"/>
      <c r="I739" s="309"/>
    </row>
    <row r="740">
      <c r="D740" s="309"/>
      <c r="E740" s="309"/>
      <c r="F740" s="309"/>
      <c r="G740" s="309"/>
      <c r="H740" s="309"/>
      <c r="I740" s="309"/>
    </row>
    <row r="741">
      <c r="D741" s="309"/>
      <c r="E741" s="309"/>
      <c r="F741" s="309"/>
      <c r="G741" s="309"/>
      <c r="H741" s="309"/>
      <c r="I741" s="309"/>
    </row>
    <row r="742">
      <c r="D742" s="309"/>
      <c r="E742" s="309"/>
      <c r="F742" s="309"/>
      <c r="G742" s="309"/>
      <c r="H742" s="309"/>
      <c r="I742" s="309"/>
    </row>
    <row r="743">
      <c r="D743" s="309"/>
      <c r="E743" s="309"/>
      <c r="F743" s="309"/>
      <c r="G743" s="309"/>
      <c r="H743" s="309"/>
      <c r="I743" s="309"/>
    </row>
    <row r="744">
      <c r="D744" s="309"/>
      <c r="E744" s="309"/>
      <c r="F744" s="309"/>
      <c r="G744" s="309"/>
      <c r="H744" s="309"/>
      <c r="I744" s="309"/>
    </row>
    <row r="745">
      <c r="D745" s="309"/>
      <c r="E745" s="309"/>
      <c r="F745" s="309"/>
      <c r="G745" s="309"/>
      <c r="H745" s="309"/>
      <c r="I745" s="309"/>
    </row>
    <row r="746">
      <c r="D746" s="309"/>
      <c r="E746" s="309"/>
      <c r="F746" s="309"/>
      <c r="G746" s="309"/>
      <c r="H746" s="309"/>
      <c r="I746" s="309"/>
    </row>
    <row r="747">
      <c r="D747" s="309"/>
      <c r="E747" s="309"/>
      <c r="F747" s="309"/>
      <c r="G747" s="309"/>
      <c r="H747" s="309"/>
      <c r="I747" s="309"/>
    </row>
    <row r="748">
      <c r="D748" s="309"/>
      <c r="E748" s="309"/>
      <c r="F748" s="309"/>
      <c r="G748" s="309"/>
      <c r="H748" s="309"/>
      <c r="I748" s="309"/>
    </row>
    <row r="749">
      <c r="D749" s="309"/>
      <c r="E749" s="309"/>
      <c r="F749" s="309"/>
      <c r="G749" s="309"/>
      <c r="H749" s="309"/>
      <c r="I749" s="309"/>
    </row>
    <row r="750">
      <c r="D750" s="309"/>
      <c r="E750" s="309"/>
      <c r="F750" s="309"/>
      <c r="G750" s="309"/>
      <c r="H750" s="309"/>
      <c r="I750" s="309"/>
    </row>
    <row r="751">
      <c r="D751" s="309"/>
      <c r="E751" s="309"/>
      <c r="F751" s="309"/>
      <c r="G751" s="309"/>
      <c r="H751" s="309"/>
      <c r="I751" s="309"/>
    </row>
    <row r="752">
      <c r="D752" s="309"/>
      <c r="E752" s="309"/>
      <c r="F752" s="309"/>
      <c r="G752" s="309"/>
      <c r="H752" s="309"/>
      <c r="I752" s="309"/>
    </row>
    <row r="753">
      <c r="D753" s="309"/>
      <c r="E753" s="309"/>
      <c r="F753" s="309"/>
      <c r="G753" s="309"/>
      <c r="H753" s="309"/>
      <c r="I753" s="309"/>
    </row>
    <row r="754">
      <c r="D754" s="309"/>
      <c r="E754" s="309"/>
      <c r="F754" s="309"/>
      <c r="G754" s="309"/>
      <c r="H754" s="309"/>
      <c r="I754" s="309"/>
    </row>
    <row r="755">
      <c r="D755" s="309"/>
      <c r="E755" s="309"/>
      <c r="F755" s="309"/>
      <c r="G755" s="309"/>
      <c r="H755" s="309"/>
      <c r="I755" s="309"/>
    </row>
    <row r="756">
      <c r="D756" s="309"/>
      <c r="E756" s="309"/>
      <c r="F756" s="309"/>
      <c r="G756" s="309"/>
      <c r="H756" s="309"/>
      <c r="I756" s="309"/>
    </row>
    <row r="757">
      <c r="D757" s="309"/>
      <c r="E757" s="309"/>
      <c r="F757" s="309"/>
      <c r="G757" s="309"/>
      <c r="H757" s="309"/>
      <c r="I757" s="309"/>
    </row>
    <row r="758">
      <c r="D758" s="309"/>
      <c r="E758" s="309"/>
      <c r="F758" s="309"/>
      <c r="G758" s="309"/>
      <c r="H758" s="309"/>
      <c r="I758" s="309"/>
    </row>
    <row r="759">
      <c r="D759" s="309"/>
      <c r="E759" s="309"/>
      <c r="F759" s="309"/>
      <c r="G759" s="309"/>
      <c r="H759" s="309"/>
      <c r="I759" s="309"/>
    </row>
    <row r="760">
      <c r="D760" s="309"/>
      <c r="E760" s="309"/>
      <c r="F760" s="309"/>
      <c r="G760" s="309"/>
      <c r="H760" s="309"/>
      <c r="I760" s="309"/>
    </row>
    <row r="761">
      <c r="D761" s="309"/>
      <c r="E761" s="309"/>
      <c r="F761" s="309"/>
      <c r="G761" s="309"/>
      <c r="H761" s="309"/>
      <c r="I761" s="309"/>
    </row>
    <row r="762">
      <c r="D762" s="309"/>
      <c r="E762" s="309"/>
      <c r="F762" s="309"/>
      <c r="G762" s="309"/>
      <c r="H762" s="309"/>
      <c r="I762" s="309"/>
    </row>
    <row r="763">
      <c r="D763" s="309"/>
      <c r="E763" s="309"/>
      <c r="F763" s="309"/>
      <c r="G763" s="309"/>
      <c r="H763" s="309"/>
      <c r="I763" s="309"/>
    </row>
    <row r="764">
      <c r="D764" s="309"/>
      <c r="E764" s="309"/>
      <c r="F764" s="309"/>
      <c r="G764" s="309"/>
      <c r="H764" s="309"/>
      <c r="I764" s="309"/>
    </row>
    <row r="765">
      <c r="D765" s="309"/>
      <c r="E765" s="309"/>
      <c r="F765" s="309"/>
      <c r="G765" s="309"/>
      <c r="H765" s="309"/>
      <c r="I765" s="309"/>
    </row>
    <row r="766">
      <c r="D766" s="309"/>
      <c r="E766" s="309"/>
      <c r="F766" s="309"/>
      <c r="G766" s="309"/>
      <c r="H766" s="309"/>
      <c r="I766" s="309"/>
    </row>
    <row r="767">
      <c r="D767" s="309"/>
      <c r="E767" s="309"/>
      <c r="F767" s="309"/>
      <c r="G767" s="309"/>
      <c r="H767" s="309"/>
      <c r="I767" s="309"/>
    </row>
    <row r="768">
      <c r="D768" s="309"/>
      <c r="E768" s="309"/>
      <c r="F768" s="309"/>
      <c r="G768" s="309"/>
      <c r="H768" s="309"/>
      <c r="I768" s="309"/>
    </row>
    <row r="769">
      <c r="D769" s="309"/>
      <c r="E769" s="309"/>
      <c r="F769" s="309"/>
      <c r="G769" s="309"/>
      <c r="H769" s="309"/>
      <c r="I769" s="309"/>
    </row>
  </sheetData>
  <mergeCells count="302">
    <mergeCell ref="D44:H44"/>
    <mergeCell ref="G45:H45"/>
    <mergeCell ref="G46:H46"/>
    <mergeCell ref="G47:H47"/>
    <mergeCell ref="G48:H48"/>
    <mergeCell ref="E49:H49"/>
    <mergeCell ref="E50:H50"/>
    <mergeCell ref="E51:F51"/>
    <mergeCell ref="E52:F52"/>
    <mergeCell ref="E53:F53"/>
    <mergeCell ref="D54:H54"/>
    <mergeCell ref="G55:H55"/>
    <mergeCell ref="G56:H56"/>
    <mergeCell ref="G57:H57"/>
    <mergeCell ref="C2:I2"/>
    <mergeCell ref="D3:H3"/>
    <mergeCell ref="D4:H4"/>
    <mergeCell ref="G5:H5"/>
    <mergeCell ref="G6:H6"/>
    <mergeCell ref="G7:H7"/>
    <mergeCell ref="G8:H8"/>
    <mergeCell ref="E9:H9"/>
    <mergeCell ref="E10:H10"/>
    <mergeCell ref="E11:F11"/>
    <mergeCell ref="E12:F12"/>
    <mergeCell ref="E13:F13"/>
    <mergeCell ref="D14:H14"/>
    <mergeCell ref="G15:H15"/>
    <mergeCell ref="G16:H16"/>
    <mergeCell ref="G17:H17"/>
    <mergeCell ref="G18:H18"/>
    <mergeCell ref="E19:H19"/>
    <mergeCell ref="E20:H20"/>
    <mergeCell ref="E21:F21"/>
    <mergeCell ref="E22:F22"/>
    <mergeCell ref="E23:F23"/>
    <mergeCell ref="D24:H24"/>
    <mergeCell ref="G25:H25"/>
    <mergeCell ref="G26:H26"/>
    <mergeCell ref="G27:H27"/>
    <mergeCell ref="G28:H28"/>
    <mergeCell ref="E29:H29"/>
    <mergeCell ref="E30:H30"/>
    <mergeCell ref="E31:F31"/>
    <mergeCell ref="E32:F32"/>
    <mergeCell ref="E33:F33"/>
    <mergeCell ref="D34:H34"/>
    <mergeCell ref="G35:H35"/>
    <mergeCell ref="G36:H36"/>
    <mergeCell ref="G37:H37"/>
    <mergeCell ref="G38:H38"/>
    <mergeCell ref="E39:H39"/>
    <mergeCell ref="E40:H40"/>
    <mergeCell ref="E41:F41"/>
    <mergeCell ref="E42:F42"/>
    <mergeCell ref="E43:F43"/>
    <mergeCell ref="G58:H58"/>
    <mergeCell ref="E59:H59"/>
    <mergeCell ref="E60:H60"/>
    <mergeCell ref="E61:F61"/>
    <mergeCell ref="E62:F62"/>
    <mergeCell ref="E63:F63"/>
    <mergeCell ref="D64:H64"/>
    <mergeCell ref="G65:H65"/>
    <mergeCell ref="G66:H66"/>
    <mergeCell ref="G67:H67"/>
    <mergeCell ref="G68:H68"/>
    <mergeCell ref="E69:H69"/>
    <mergeCell ref="E70:H70"/>
    <mergeCell ref="E71:F71"/>
    <mergeCell ref="E72:F72"/>
    <mergeCell ref="E73:F73"/>
    <mergeCell ref="D74:H74"/>
    <mergeCell ref="G75:H75"/>
    <mergeCell ref="G76:H76"/>
    <mergeCell ref="G77:H77"/>
    <mergeCell ref="G78:H78"/>
    <mergeCell ref="E79:H79"/>
    <mergeCell ref="E80:H80"/>
    <mergeCell ref="E81:F81"/>
    <mergeCell ref="E82:F82"/>
    <mergeCell ref="E83:F83"/>
    <mergeCell ref="D84:H84"/>
    <mergeCell ref="G85:H85"/>
    <mergeCell ref="G86:H86"/>
    <mergeCell ref="G87:H87"/>
    <mergeCell ref="G88:H88"/>
    <mergeCell ref="E89:H89"/>
    <mergeCell ref="E90:H90"/>
    <mergeCell ref="E91:F91"/>
    <mergeCell ref="E92:F92"/>
    <mergeCell ref="E93:F93"/>
    <mergeCell ref="D94:H94"/>
    <mergeCell ref="G95:H95"/>
    <mergeCell ref="G96:H96"/>
    <mergeCell ref="G97:H97"/>
    <mergeCell ref="G98:H98"/>
    <mergeCell ref="E99:H99"/>
    <mergeCell ref="E100:H100"/>
    <mergeCell ref="E101:F101"/>
    <mergeCell ref="E102:F102"/>
    <mergeCell ref="E103:F103"/>
    <mergeCell ref="D104:H104"/>
    <mergeCell ref="G105:H105"/>
    <mergeCell ref="G106:H106"/>
    <mergeCell ref="G107:H107"/>
    <mergeCell ref="G108:H108"/>
    <mergeCell ref="E109:H109"/>
    <mergeCell ref="E110:H110"/>
    <mergeCell ref="E111:F111"/>
    <mergeCell ref="E112:F112"/>
    <mergeCell ref="E113:F113"/>
    <mergeCell ref="D114:H114"/>
    <mergeCell ref="G115:H115"/>
    <mergeCell ref="G116:H116"/>
    <mergeCell ref="G117:H117"/>
    <mergeCell ref="G118:H118"/>
    <mergeCell ref="E119:H119"/>
    <mergeCell ref="E120:H120"/>
    <mergeCell ref="E121:F121"/>
    <mergeCell ref="E122:F122"/>
    <mergeCell ref="E123:F123"/>
    <mergeCell ref="D124:H124"/>
    <mergeCell ref="G125:H125"/>
    <mergeCell ref="G126:H126"/>
    <mergeCell ref="G127:H127"/>
    <mergeCell ref="G128:H128"/>
    <mergeCell ref="E129:H129"/>
    <mergeCell ref="E130:H130"/>
    <mergeCell ref="E131:F131"/>
    <mergeCell ref="E132:F132"/>
    <mergeCell ref="E133:F133"/>
    <mergeCell ref="D134:H134"/>
    <mergeCell ref="G135:H135"/>
    <mergeCell ref="G136:H136"/>
    <mergeCell ref="G137:H137"/>
    <mergeCell ref="G138:H138"/>
    <mergeCell ref="E139:H139"/>
    <mergeCell ref="E140:H140"/>
    <mergeCell ref="E141:F141"/>
    <mergeCell ref="E142:F142"/>
    <mergeCell ref="E143:F143"/>
    <mergeCell ref="D144:H144"/>
    <mergeCell ref="G145:H145"/>
    <mergeCell ref="G146:H146"/>
    <mergeCell ref="G147:H147"/>
    <mergeCell ref="G148:H148"/>
    <mergeCell ref="E149:H149"/>
    <mergeCell ref="E150:H150"/>
    <mergeCell ref="E151:F151"/>
    <mergeCell ref="E152:F152"/>
    <mergeCell ref="E153:F153"/>
    <mergeCell ref="D154:H154"/>
    <mergeCell ref="G155:H155"/>
    <mergeCell ref="G156:H156"/>
    <mergeCell ref="G157:H157"/>
    <mergeCell ref="G158:H158"/>
    <mergeCell ref="E159:H159"/>
    <mergeCell ref="E160:H160"/>
    <mergeCell ref="E161:F161"/>
    <mergeCell ref="E162:F162"/>
    <mergeCell ref="E163:F163"/>
    <mergeCell ref="D164:H164"/>
    <mergeCell ref="G165:H165"/>
    <mergeCell ref="G166:H166"/>
    <mergeCell ref="G167:H167"/>
    <mergeCell ref="G168:H168"/>
    <mergeCell ref="E169:H169"/>
    <mergeCell ref="E170:H170"/>
    <mergeCell ref="E171:F171"/>
    <mergeCell ref="E172:F172"/>
    <mergeCell ref="E173:F173"/>
    <mergeCell ref="D174:H174"/>
    <mergeCell ref="G175:H175"/>
    <mergeCell ref="G176:H176"/>
    <mergeCell ref="G177:H177"/>
    <mergeCell ref="G178:H178"/>
    <mergeCell ref="E179:H179"/>
    <mergeCell ref="E180:H180"/>
    <mergeCell ref="E181:F181"/>
    <mergeCell ref="E182:F182"/>
    <mergeCell ref="E183:F183"/>
    <mergeCell ref="D184:H184"/>
    <mergeCell ref="G185:H185"/>
    <mergeCell ref="G186:H186"/>
    <mergeCell ref="G187:H187"/>
    <mergeCell ref="G188:H188"/>
    <mergeCell ref="E189:H189"/>
    <mergeCell ref="E190:H190"/>
    <mergeCell ref="E191:F191"/>
    <mergeCell ref="E192:F192"/>
    <mergeCell ref="E193:F193"/>
    <mergeCell ref="D194:H194"/>
    <mergeCell ref="G195:H195"/>
    <mergeCell ref="G196:H196"/>
    <mergeCell ref="G197:H197"/>
    <mergeCell ref="G198:H198"/>
    <mergeCell ref="E199:H199"/>
    <mergeCell ref="E200:H200"/>
    <mergeCell ref="E201:F201"/>
    <mergeCell ref="E202:F202"/>
    <mergeCell ref="E203:F203"/>
    <mergeCell ref="D204:H204"/>
    <mergeCell ref="G205:H205"/>
    <mergeCell ref="G206:H206"/>
    <mergeCell ref="G207:H207"/>
    <mergeCell ref="G208:H208"/>
    <mergeCell ref="E209:H209"/>
    <mergeCell ref="E210:H210"/>
    <mergeCell ref="E211:F211"/>
    <mergeCell ref="D254:H254"/>
    <mergeCell ref="G255:H255"/>
    <mergeCell ref="G256:H256"/>
    <mergeCell ref="G257:H257"/>
    <mergeCell ref="G258:H258"/>
    <mergeCell ref="E259:H259"/>
    <mergeCell ref="E260:H260"/>
    <mergeCell ref="E261:F261"/>
    <mergeCell ref="E262:F262"/>
    <mergeCell ref="E263:F263"/>
    <mergeCell ref="D264:H264"/>
    <mergeCell ref="G265:H265"/>
    <mergeCell ref="G266:H266"/>
    <mergeCell ref="G267:H267"/>
    <mergeCell ref="G275:H275"/>
    <mergeCell ref="G276:H276"/>
    <mergeCell ref="G277:H277"/>
    <mergeCell ref="G278:H278"/>
    <mergeCell ref="E279:H279"/>
    <mergeCell ref="E280:H280"/>
    <mergeCell ref="E281:F281"/>
    <mergeCell ref="E282:F282"/>
    <mergeCell ref="E283:F283"/>
    <mergeCell ref="D284:H284"/>
    <mergeCell ref="G285:H285"/>
    <mergeCell ref="G286:H286"/>
    <mergeCell ref="G287:H287"/>
    <mergeCell ref="G288:H288"/>
    <mergeCell ref="G296:H296"/>
    <mergeCell ref="G297:H297"/>
    <mergeCell ref="G298:H298"/>
    <mergeCell ref="E299:H299"/>
    <mergeCell ref="E300:H300"/>
    <mergeCell ref="E301:F301"/>
    <mergeCell ref="E302:F302"/>
    <mergeCell ref="E303:F303"/>
    <mergeCell ref="E289:H289"/>
    <mergeCell ref="E290:H290"/>
    <mergeCell ref="E291:F291"/>
    <mergeCell ref="E292:F292"/>
    <mergeCell ref="E293:F293"/>
    <mergeCell ref="D294:H294"/>
    <mergeCell ref="G295:H295"/>
    <mergeCell ref="E212:F212"/>
    <mergeCell ref="E213:F213"/>
    <mergeCell ref="D214:H214"/>
    <mergeCell ref="G215:H215"/>
    <mergeCell ref="G216:H216"/>
    <mergeCell ref="G217:H217"/>
    <mergeCell ref="G218:H218"/>
    <mergeCell ref="E219:H219"/>
    <mergeCell ref="E220:H220"/>
    <mergeCell ref="E221:F221"/>
    <mergeCell ref="E222:F222"/>
    <mergeCell ref="E223:F223"/>
    <mergeCell ref="D224:H224"/>
    <mergeCell ref="G225:H225"/>
    <mergeCell ref="G226:H226"/>
    <mergeCell ref="G227:H227"/>
    <mergeCell ref="G228:H228"/>
    <mergeCell ref="E229:H229"/>
    <mergeCell ref="E230:H230"/>
    <mergeCell ref="E231:F231"/>
    <mergeCell ref="E232:F232"/>
    <mergeCell ref="E233:F233"/>
    <mergeCell ref="D234:H234"/>
    <mergeCell ref="G235:H235"/>
    <mergeCell ref="G236:H236"/>
    <mergeCell ref="G237:H237"/>
    <mergeCell ref="G238:H238"/>
    <mergeCell ref="E239:H239"/>
    <mergeCell ref="E240:H240"/>
    <mergeCell ref="E241:F241"/>
    <mergeCell ref="E242:F242"/>
    <mergeCell ref="E243:F243"/>
    <mergeCell ref="D244:H244"/>
    <mergeCell ref="G245:H245"/>
    <mergeCell ref="G246:H246"/>
    <mergeCell ref="G247:H247"/>
    <mergeCell ref="G248:H248"/>
    <mergeCell ref="E249:H249"/>
    <mergeCell ref="E250:H250"/>
    <mergeCell ref="E251:F251"/>
    <mergeCell ref="E252:F252"/>
    <mergeCell ref="E253:F253"/>
    <mergeCell ref="G268:H268"/>
    <mergeCell ref="E269:H269"/>
    <mergeCell ref="E270:H270"/>
    <mergeCell ref="E271:F271"/>
    <mergeCell ref="E272:F272"/>
    <mergeCell ref="E273:F273"/>
    <mergeCell ref="D274:H274"/>
  </mergeCells>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3" priority="1" operator="equal">
      <formula>"A"</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4" priority="2" operator="equal">
      <formula>"B"</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5" priority="3" operator="equal">
      <formula>"C1"</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6" priority="4" operator="equal">
      <formula>"C2"</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7" priority="5" operator="equal">
      <formula>"D"</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8" priority="6" operator="equal">
      <formula>"R"</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9" priority="7" operator="equal">
      <formula>"N"</formula>
    </cfRule>
  </conditionalFormatting>
  <printOptions gridLines="1" horizontalCentered="1"/>
  <pageMargins bottom="0.75" footer="0.0" header="0.0" left="0.7" right="0.7" top="0.75"/>
  <pageSetup fitToHeight="0" paperSize="9" cellComments="atEnd" orientation="portrait" pageOrder="overThenDown"/>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1" width="4.25"/>
    <col customWidth="1" hidden="1" min="2" max="2" width="7.13"/>
    <col customWidth="1" min="3" max="3" width="1.75"/>
    <col customWidth="1" min="4" max="8" width="6.38"/>
    <col customWidth="1" min="9" max="9" width="0.38"/>
  </cols>
  <sheetData>
    <row r="1" ht="25.5" hidden="1" customHeight="1"/>
    <row r="2" ht="6.0" customHeight="1">
      <c r="B2" s="268"/>
      <c r="C2" s="268"/>
    </row>
    <row r="3" ht="48.0" customHeight="1">
      <c r="D3" s="310" t="s">
        <v>113</v>
      </c>
    </row>
    <row r="4" ht="20.25" customHeight="1">
      <c r="D4" s="270">
        <f>NOW()</f>
        <v>46082.17201</v>
      </c>
    </row>
    <row r="5" ht="27.0" customHeight="1">
      <c r="A5" s="86" t="s">
        <v>69</v>
      </c>
      <c r="B5" s="86">
        <v>1.0</v>
      </c>
      <c r="D5" s="271" t="s">
        <v>80</v>
      </c>
      <c r="E5" s="272" t="s">
        <v>81</v>
      </c>
      <c r="F5" s="272" t="s">
        <v>82</v>
      </c>
      <c r="G5" s="273" t="s">
        <v>49</v>
      </c>
      <c r="H5" s="274"/>
    </row>
    <row r="6" ht="27.0" customHeight="1">
      <c r="A6" s="86"/>
      <c r="D6" s="275">
        <f t="array" ref="D6">IFERROR(INDEX('計測入力シート（ここのみ編集可）'!$BN$17:$BN$116,MATCH(A5&amp;B5,'計測入力シート（ここのみ編集可）'!$BO$17:$BO$116,0)),"")</f>
        <v>1</v>
      </c>
      <c r="E6" s="276" t="str">
        <f t="array" ref="E6">IFERROR(INDEX('計測入力シート（ここのみ編集可）'!$BP$17:$BP$116,MATCH(A5&amp;B5,'計測入力シート（ここのみ編集可）'!$BO$17:$BO$116,0)),"")</f>
        <v>-</v>
      </c>
      <c r="F6" s="277" t="str">
        <f t="array" ref="F6">IFERROR(INDEX('計測入力シート（ここのみ編集可）'!$BR$17:$BR$116,MATCH(A5&amp;B5,'計測入力シート（ここのみ編集可）'!$BO$17:$BO$116,0)),"")</f>
        <v>-</v>
      </c>
      <c r="G6" s="278">
        <f t="array" ref="G6">IFERROR(INDEX('計測入力シート（ここのみ編集可）'!$BL$17:$BL$116,MATCH(A5&amp;B5,'計測入力シート（ここのみ編集可）'!$BO$17:$BO$116,0)),"")</f>
        <v>2</v>
      </c>
      <c r="H6" s="279"/>
    </row>
    <row r="7" ht="27.0" customHeight="1">
      <c r="D7" s="280" t="s">
        <v>2</v>
      </c>
      <c r="E7" s="281">
        <f t="array" ref="E7">IFERROR(INDEX('計測入力シート（ここのみ編集可）'!$C$17:$C$116,MATCH(A5&amp;B5,'計測入力シート（ここのみ編集可）'!$BO$17:$BO$116,0)),"")</f>
        <v>50</v>
      </c>
      <c r="F7" s="282" t="s">
        <v>17</v>
      </c>
      <c r="G7" s="283" t="str">
        <f t="array" ref="G7">IFERROR(INDEX('計測入力シート（ここのみ編集可）'!$D$17:$D$116,MATCH(A5&amp;B5,'計測入力シート（ここのみ編集可）'!$BO$17:$BO$116,0)),"")</f>
        <v>どmの</v>
      </c>
      <c r="H7" s="284"/>
    </row>
    <row r="8" ht="27.0" customHeight="1">
      <c r="D8" s="285" t="s">
        <v>1</v>
      </c>
      <c r="E8" s="286" t="str">
        <f t="array" ref="E8">IFERROR(INDEX('計測入力シート（ここのみ編集可）'!$B$17:$B$116,MATCH(A5&amp;B5,'計測入力シート（ここのみ編集可）'!$BO$17:$BO$116,0)),"")</f>
        <v>B</v>
      </c>
      <c r="F8" s="287" t="s">
        <v>18</v>
      </c>
      <c r="G8" s="288" t="str">
        <f t="array" ref="G8">IFERROR(INDEX('計測入力シート（ここのみ編集可）'!$E$17:$E$116,MATCH(A5&amp;B5,'計測入力シート（ここのみ編集可）'!$BO$17:$BO$116,0)),"")</f>
        <v>CBR600RR</v>
      </c>
      <c r="H8" s="289"/>
    </row>
    <row r="9" ht="24.75" customHeight="1">
      <c r="D9" s="290" t="s">
        <v>92</v>
      </c>
      <c r="E9" s="291" t="str">
        <f t="array" ref="E9">IFERROR(INDEX(#REF!,MATCH(A5&amp;B5,'計測入力シート（ここのみ編集可）'!$BO$17:$BO$116,0)),"")</f>
        <v/>
      </c>
      <c r="H9" s="232"/>
    </row>
    <row r="10" ht="52.5" customHeight="1">
      <c r="D10" s="292" t="s">
        <v>100</v>
      </c>
      <c r="E10" s="293" t="str">
        <f t="array" ref="E10">IFERROR(INDEX(#REF!,MATCH(A5&amp;B5,'計測入力シート（ここのみ編集可）'!$BO$17:$BO$116,0)),"")</f>
        <v/>
      </c>
      <c r="F10" s="95"/>
      <c r="G10" s="95"/>
      <c r="H10" s="96"/>
    </row>
    <row r="11" ht="20.25" customHeight="1">
      <c r="D11" s="294" t="s">
        <v>39</v>
      </c>
      <c r="E11" s="295" t="str">
        <f t="array" ref="E11">IFERROR(INDEX('計測入力シート（ここのみ編集可）'!$AW$17:$AW$116,MATCH(A5&amp;B5,'計測入力シート（ここのみ編集可）'!$BO$17:$BO$116,0)),"")</f>
        <v>1:51:604</v>
      </c>
      <c r="F11" s="296"/>
      <c r="G11" s="297" t="s">
        <v>110</v>
      </c>
      <c r="H11" s="298" t="str">
        <f t="array" ref="H11">IFERROR(INDEX('計測入力シート（ここのみ編集可）'!$AY$17:$AY$116,MATCH(A5&amp;B5,'計測入力シート（ここのみ編集可）'!$BO$17:$BO$116,0)),"")</f>
        <v>-</v>
      </c>
    </row>
    <row r="12" ht="20.25" customHeight="1">
      <c r="D12" s="299" t="s">
        <v>42</v>
      </c>
      <c r="E12" s="300" t="str">
        <f t="array" ref="E12">IFERROR(INDEX('計測入力シート（ここのみ編集可）'!$AZ$17:$AZ$116,MATCH(A5&amp;B5,'計測入力シート（ここのみ編集可）'!$BO$17:$BO$116,0)),"")</f>
        <v>1:39:460</v>
      </c>
      <c r="F12" s="116"/>
      <c r="G12" s="301" t="s">
        <v>111</v>
      </c>
      <c r="H12" s="302" t="str">
        <f t="array" ref="H12">IFERROR(INDEX('計測入力シート（ここのみ編集可）'!$BB$17:$BB$116,MATCH(A5&amp;B5,'計測入力シート（ここのみ編集可）'!$BO$17:$BO$116,0)),"")</f>
        <v>-</v>
      </c>
    </row>
    <row r="13" ht="20.25" customHeight="1">
      <c r="D13" s="303" t="s">
        <v>112</v>
      </c>
      <c r="E13" s="304" t="str">
        <f t="array" ref="E13">IFERROR(INDEX('計測入力シート（ここのみ編集可）'!$BC$17:$BC$116,MATCH(A5&amp;B5,'計測入力シート（ここのみ編集可）'!$BO$17:$BO$116,0)),"")</f>
        <v>1:39:460</v>
      </c>
      <c r="F13" s="305"/>
      <c r="G13" s="306" t="s">
        <v>25</v>
      </c>
      <c r="H13" s="307">
        <f t="array" ref="H13">IFERROR(INDEX('計測入力シート（ここのみ編集可）'!$BD$17:$BD$116,MATCH(A5&amp;B5,'計測入力シート（ここのみ編集可）'!$BO$17:$BO$116,0)),"")</f>
        <v>1.018994734</v>
      </c>
    </row>
    <row r="14" ht="20.25" customHeight="1">
      <c r="D14" s="308"/>
    </row>
    <row r="15" ht="27.0" customHeight="1">
      <c r="A15" s="52" t="str">
        <f>A5</f>
        <v>B</v>
      </c>
      <c r="B15" s="52">
        <f>B5+1</f>
        <v>2</v>
      </c>
      <c r="D15" s="271" t="s">
        <v>80</v>
      </c>
      <c r="E15" s="272" t="s">
        <v>81</v>
      </c>
      <c r="F15" s="272" t="s">
        <v>82</v>
      </c>
      <c r="G15" s="273" t="s">
        <v>49</v>
      </c>
      <c r="H15" s="274"/>
    </row>
    <row r="16" ht="27.0" customHeight="1">
      <c r="A16" s="86"/>
      <c r="B16" s="86"/>
      <c r="D16" s="275">
        <f t="array" ref="D16">IFERROR(INDEX('計測入力シート（ここのみ編集可）'!$BN$17:$BN$116,MATCH(A15&amp;B15,'計測入力シート（ここのみ編集可）'!$BO$17:$BO$116,0)),"")</f>
        <v>2</v>
      </c>
      <c r="E16" s="276" t="str">
        <f t="array" ref="E16">IFERROR(INDEX('計測入力シート（ここのみ編集可）'!$BP$17:$BP$116,MATCH(A15&amp;B15,'計測入力シート（ここのみ編集可）'!$BO$17:$BO$116,0)),"")</f>
        <v>-</v>
      </c>
      <c r="F16" s="277" t="str">
        <f t="array" ref="F16">IFERROR(INDEX('計測入力シート（ここのみ編集可）'!$BR$17:$BR$116,MATCH(A15&amp;B15,'計測入力シート（ここのみ編集可）'!$BO$17:$BO$116,0)),"")</f>
        <v>-</v>
      </c>
      <c r="G16" s="278">
        <f t="array" ref="G16">IFERROR(INDEX('計測入力シート（ここのみ編集可）'!$BL$17:$BL$116,MATCH(A15&amp;B15,'計測入力シート（ここのみ編集可）'!$BO$17:$BO$116,0)),"")</f>
        <v>6</v>
      </c>
      <c r="H16" s="279"/>
    </row>
    <row r="17" ht="27.0" customHeight="1">
      <c r="D17" s="280" t="s">
        <v>2</v>
      </c>
      <c r="E17" s="281">
        <f t="array" ref="E17">IFERROR(INDEX('計測入力シート（ここのみ編集可）'!$C$17:$C$116,MATCH(A15&amp;B15,'計測入力シート（ここのみ編集可）'!$BO$17:$BO$116,0)),"")</f>
        <v>51</v>
      </c>
      <c r="F17" s="282" t="s">
        <v>17</v>
      </c>
      <c r="G17" s="283" t="str">
        <f t="array" ref="G17">IFERROR(INDEX('計測入力シート（ここのみ編集可）'!$D$17:$D$116,MATCH(A15&amp;B15,'計測入力シート（ここのみ編集可）'!$BO$17:$BO$116,0)),"")</f>
        <v>motoDA</v>
      </c>
      <c r="H17" s="284"/>
    </row>
    <row r="18" ht="27.0" customHeight="1">
      <c r="D18" s="285" t="s">
        <v>1</v>
      </c>
      <c r="E18" s="286" t="str">
        <f t="array" ref="E18">IFERROR(INDEX('計測入力シート（ここのみ編集可）'!$B$17:$B$116,MATCH(A15&amp;B15,'計測入力シート（ここのみ編集可）'!$BO$17:$BO$116,0)),"")</f>
        <v>B</v>
      </c>
      <c r="F18" s="287" t="s">
        <v>18</v>
      </c>
      <c r="G18" s="288" t="str">
        <f t="array" ref="G18">IFERROR(INDEX('計測入力シート（ここのみ編集可）'!$E$17:$E$116,MATCH(A15&amp;B15,'計測入力シート（ここのみ編集可）'!$BO$17:$BO$116,0)),"")</f>
        <v>GROM</v>
      </c>
      <c r="H18" s="289"/>
    </row>
    <row r="19" ht="24.75" customHeight="1">
      <c r="D19" s="290" t="s">
        <v>92</v>
      </c>
      <c r="E19" s="291" t="str">
        <f t="array" ref="E19">IFERROR(INDEX(#REF!,MATCH(A15&amp;B15,'計測入力シート（ここのみ編集可）'!$BO$17:$BO$116,0)),"")</f>
        <v/>
      </c>
      <c r="H19" s="232"/>
    </row>
    <row r="20" ht="52.5" customHeight="1">
      <c r="D20" s="292" t="s">
        <v>100</v>
      </c>
      <c r="E20" s="293" t="str">
        <f t="array" ref="E20">IFERROR(INDEX(#REF!,MATCH(A15&amp;B15,'計測入力シート（ここのみ編集可）'!$BO$17:$BO$116,0)),"")</f>
        <v/>
      </c>
      <c r="F20" s="95"/>
      <c r="G20" s="95"/>
      <c r="H20" s="96"/>
    </row>
    <row r="21" ht="20.25" customHeight="1">
      <c r="D21" s="294" t="s">
        <v>39</v>
      </c>
      <c r="E21" s="295" t="str">
        <f t="array" ref="E21">IFERROR(INDEX('計測入力シート（ここのみ編集可）'!$AW$17:$AW$116,MATCH(A15&amp;B15,'計測入力シート（ここのみ編集可）'!$BO$17:$BO$116,0)),"")</f>
        <v>1:50:572</v>
      </c>
      <c r="F21" s="296"/>
      <c r="G21" s="297" t="s">
        <v>110</v>
      </c>
      <c r="H21" s="298">
        <f t="array" ref="H21">IFERROR(INDEX('計測入力シート（ここのみ編集可）'!$AY$17:$AY$116,MATCH(A15&amp;B15,'計測入力シート（ここのみ編集可）'!$BO$17:$BO$116,0)),"")</f>
        <v>1</v>
      </c>
    </row>
    <row r="22" ht="20.25" customHeight="1">
      <c r="D22" s="299" t="s">
        <v>42</v>
      </c>
      <c r="E22" s="300" t="str">
        <f t="array" ref="E22">IFERROR(INDEX('計測入力シート（ここのみ編集可）'!$AZ$17:$AZ$116,MATCH(A15&amp;B15,'計測入力シート（ここのみ編集可）'!$BO$17:$BO$116,0)),"")</f>
        <v>1:41:794</v>
      </c>
      <c r="F22" s="116"/>
      <c r="G22" s="301" t="s">
        <v>111</v>
      </c>
      <c r="H22" s="302">
        <f t="array" ref="H22">IFERROR(INDEX('計測入力シート（ここのみ編集可）'!$BB$17:$BB$116,MATCH(A15&amp;B15,'計測入力シート（ここのみ編集可）'!$BO$17:$BO$116,0)),"")</f>
        <v>1</v>
      </c>
    </row>
    <row r="23" ht="20.25" customHeight="1">
      <c r="D23" s="303" t="s">
        <v>112</v>
      </c>
      <c r="E23" s="304" t="str">
        <f t="array" ref="E23">IFERROR(INDEX('計測入力シート（ここのみ編集可）'!$BC$17:$BC$116,MATCH(A15&amp;B15,'計測入力シート（ここのみ編集可）'!$BO$17:$BO$116,0)),"")</f>
        <v>1:42:794</v>
      </c>
      <c r="F23" s="305"/>
      <c r="G23" s="306" t="s">
        <v>25</v>
      </c>
      <c r="H23" s="307">
        <f t="array" ref="H23">IFERROR(INDEX('計測入力シート（ここのみ編集可）'!$BD$17:$BD$116,MATCH(A15&amp;B15,'計測入力シート（ここのみ編集可）'!$BO$17:$BO$116,0)),"")</f>
        <v>1.05315247</v>
      </c>
    </row>
    <row r="24" ht="20.25" customHeight="1">
      <c r="D24" s="308"/>
    </row>
    <row r="25" ht="27.0" customHeight="1">
      <c r="A25" s="52" t="str">
        <f>A15</f>
        <v>B</v>
      </c>
      <c r="B25" s="52">
        <f>B15+1</f>
        <v>3</v>
      </c>
      <c r="D25" s="271" t="s">
        <v>80</v>
      </c>
      <c r="E25" s="272" t="s">
        <v>81</v>
      </c>
      <c r="F25" s="272" t="s">
        <v>82</v>
      </c>
      <c r="G25" s="273" t="s">
        <v>49</v>
      </c>
      <c r="H25" s="274"/>
    </row>
    <row r="26" ht="27.0" customHeight="1">
      <c r="A26" s="86"/>
      <c r="B26" s="86"/>
      <c r="D26" s="275">
        <f t="array" ref="D26">IFERROR(INDEX('計測入力シート（ここのみ編集可）'!$BN$17:$BN$116,MATCH(A25&amp;B25,'計測入力シート（ここのみ編集可）'!$BO$17:$BO$116,0)),"")</f>
        <v>3</v>
      </c>
      <c r="E26" s="276" t="str">
        <f t="array" ref="E26">IFERROR(INDEX('計測入力シート（ここのみ編集可）'!$BP$17:$BP$116,MATCH(A25&amp;B25,'計測入力シート（ここのみ編集可）'!$BO$17:$BO$116,0)),"")</f>
        <v>-</v>
      </c>
      <c r="F26" s="277" t="str">
        <f t="array" ref="F26">IFERROR(INDEX('計測入力シート（ここのみ編集可）'!$BR$17:$BR$116,MATCH(A25&amp;B25,'計測入力シート（ここのみ編集可）'!$BO$17:$BO$116,0)),"")</f>
        <v>-</v>
      </c>
      <c r="G26" s="278">
        <f t="array" ref="G26">IFERROR(INDEX('計測入力シート（ここのみ編集可）'!$BL$17:$BL$116,MATCH(A25&amp;B25,'計測入力シート（ここのみ編集可）'!$BO$17:$BO$116,0)),"")</f>
        <v>8</v>
      </c>
      <c r="H26" s="279"/>
    </row>
    <row r="27" ht="27.0" customHeight="1">
      <c r="D27" s="280" t="s">
        <v>2</v>
      </c>
      <c r="E27" s="281">
        <f t="array" ref="E27">IFERROR(INDEX('計測入力シート（ここのみ編集可）'!$C$17:$C$116,MATCH(A25&amp;B25,'計測入力シート（ここのみ編集可）'!$BO$17:$BO$116,0)),"")</f>
        <v>49</v>
      </c>
      <c r="F27" s="282" t="s">
        <v>17</v>
      </c>
      <c r="G27" s="283" t="str">
        <f t="array" ref="G27">IFERROR(INDEX('計測入力シート（ここのみ編集可）'!$D$17:$D$116,MATCH(A25&amp;B25,'計測入力シート（ここのみ編集可）'!$BO$17:$BO$116,0)),"")</f>
        <v>てくきか</v>
      </c>
      <c r="H27" s="284"/>
    </row>
    <row r="28" ht="27.0" customHeight="1">
      <c r="D28" s="285" t="s">
        <v>1</v>
      </c>
      <c r="E28" s="286" t="str">
        <f t="array" ref="E28">IFERROR(INDEX('計測入力シート（ここのみ編集可）'!$B$17:$B$116,MATCH(A25&amp;B25,'計測入力シート（ここのみ編集可）'!$BO$17:$BO$116,0)),"")</f>
        <v>B</v>
      </c>
      <c r="F28" s="287" t="s">
        <v>18</v>
      </c>
      <c r="G28" s="288" t="str">
        <f t="array" ref="G28">IFERROR(INDEX('計測入力シート（ここのみ編集可）'!$E$17:$E$116,MATCH(A25&amp;B25,'計測入力シート（ここのみ編集可）'!$BO$17:$BO$116,0)),"")</f>
        <v>ZX-4R</v>
      </c>
      <c r="H28" s="289"/>
    </row>
    <row r="29" ht="24.75" customHeight="1">
      <c r="D29" s="290" t="s">
        <v>92</v>
      </c>
      <c r="E29" s="291" t="str">
        <f t="array" ref="E29">IFERROR(INDEX(#REF!,MATCH(A25&amp;B25,'計測入力シート（ここのみ編集可）'!$BO$17:$BO$116,0)),"")</f>
        <v/>
      </c>
      <c r="H29" s="232"/>
    </row>
    <row r="30" ht="52.5" customHeight="1">
      <c r="D30" s="292" t="s">
        <v>100</v>
      </c>
      <c r="E30" s="293" t="str">
        <f t="array" ref="E30">IFERROR(INDEX(#REF!,MATCH(A25&amp;B25,'計測入力シート（ここのみ編集可）'!$BO$17:$BO$116,0)),"")</f>
        <v/>
      </c>
      <c r="F30" s="95"/>
      <c r="G30" s="95"/>
      <c r="H30" s="96"/>
    </row>
    <row r="31" ht="20.25" customHeight="1">
      <c r="D31" s="294" t="s">
        <v>39</v>
      </c>
      <c r="E31" s="295" t="str">
        <f t="array" ref="E31">IFERROR(INDEX('計測入力シート（ここのみ編集可）'!$AW$17:$AW$116,MATCH(A25&amp;B25,'計測入力シート（ここのみ編集可）'!$BO$17:$BO$116,0)),"")</f>
        <v>1:44:701</v>
      </c>
      <c r="F31" s="296"/>
      <c r="G31" s="297" t="s">
        <v>110</v>
      </c>
      <c r="H31" s="298" t="str">
        <f t="array" ref="H31">IFERROR(INDEX('計測入力シート（ここのみ編集可）'!$AY$17:$AY$116,MATCH(A25&amp;B25,'計測入力シート（ここのみ編集可）'!$BO$17:$BO$116,0)),"")</f>
        <v>-</v>
      </c>
    </row>
    <row r="32" ht="20.25" customHeight="1">
      <c r="D32" s="299" t="s">
        <v>42</v>
      </c>
      <c r="E32" s="300" t="str">
        <f t="array" ref="E32">IFERROR(INDEX('計測入力シート（ここのみ編集可）'!$AZ$17:$AZ$116,MATCH(A25&amp;B25,'計測入力シート（ここのみ編集可）'!$BO$17:$BO$116,0)),"")</f>
        <v>1:44:742</v>
      </c>
      <c r="F32" s="116"/>
      <c r="G32" s="301" t="s">
        <v>111</v>
      </c>
      <c r="H32" s="302" t="str">
        <f t="array" ref="H32">IFERROR(INDEX('計測入力シート（ここのみ編集可）'!$BB$17:$BB$116,MATCH(A25&amp;B25,'計測入力シート（ここのみ編集可）'!$BO$17:$BO$116,0)),"")</f>
        <v>-</v>
      </c>
    </row>
    <row r="33" ht="20.25" customHeight="1">
      <c r="D33" s="303" t="s">
        <v>112</v>
      </c>
      <c r="E33" s="304" t="str">
        <f t="array" ref="E33">IFERROR(INDEX('計測入力シート（ここのみ編集可）'!$BC$17:$BC$116,MATCH(A25&amp;B25,'計測入力シート（ここのみ編集可）'!$BO$17:$BO$116,0)),"")</f>
        <v>1:44:701</v>
      </c>
      <c r="F33" s="305"/>
      <c r="G33" s="306" t="s">
        <v>25</v>
      </c>
      <c r="H33" s="307">
        <f t="array" ref="H33">IFERROR(INDEX('計測入力シート（ここのみ編集可）'!$BD$17:$BD$116,MATCH(A25&amp;B25,'計測入力シート（ここのみ編集可）'!$BO$17:$BO$116,0)),"")</f>
        <v>1.072690203</v>
      </c>
    </row>
    <row r="34" ht="20.25" customHeight="1">
      <c r="D34" s="308"/>
    </row>
    <row r="35" ht="27.0" customHeight="1">
      <c r="A35" s="52" t="str">
        <f>A25</f>
        <v>B</v>
      </c>
      <c r="B35" s="52">
        <f>B25+1</f>
        <v>4</v>
      </c>
      <c r="D35" s="271" t="s">
        <v>80</v>
      </c>
      <c r="E35" s="272" t="s">
        <v>81</v>
      </c>
      <c r="F35" s="272" t="s">
        <v>82</v>
      </c>
      <c r="G35" s="273" t="s">
        <v>49</v>
      </c>
      <c r="H35" s="274"/>
    </row>
    <row r="36" ht="27.0" customHeight="1">
      <c r="A36" s="86"/>
      <c r="B36" s="86"/>
      <c r="D36" s="275">
        <f t="array" ref="D36">IFERROR(INDEX('計測入力シート（ここのみ編集可）'!$BN$17:$BN$116,MATCH(A35&amp;B35,'計測入力シート（ここのみ編集可）'!$BO$17:$BO$116,0)),"")</f>
        <v>4</v>
      </c>
      <c r="E36" s="276" t="str">
        <f t="array" ref="E36">IFERROR(INDEX('計測入力シート（ここのみ編集可）'!$BP$17:$BP$116,MATCH(A35&amp;B35,'計測入力シート（ここのみ編集可）'!$BO$17:$BO$116,0)),"")</f>
        <v>-</v>
      </c>
      <c r="F36" s="277" t="str">
        <f t="array" ref="F36">IFERROR(INDEX('計測入力シート（ここのみ編集可）'!$BR$17:$BR$116,MATCH(A35&amp;B35,'計測入力シート（ここのみ編集可）'!$BO$17:$BO$116,0)),"")</f>
        <v>-</v>
      </c>
      <c r="G36" s="278">
        <f t="array" ref="G36">IFERROR(INDEX('計測入力シート（ここのみ編集可）'!$BL$17:$BL$116,MATCH(A35&amp;B35,'計測入力シート（ここのみ編集可）'!$BO$17:$BO$116,0)),"")</f>
        <v>31</v>
      </c>
      <c r="H36" s="279"/>
    </row>
    <row r="37" ht="27.0" customHeight="1">
      <c r="D37" s="280" t="s">
        <v>2</v>
      </c>
      <c r="E37" s="281">
        <f t="array" ref="E37">IFERROR(INDEX('計測入力シート（ここのみ編集可）'!$C$17:$C$116,MATCH(A35&amp;B35,'計測入力シート（ここのみ編集可）'!$BO$17:$BO$116,0)),"")</f>
        <v>48</v>
      </c>
      <c r="F37" s="282" t="s">
        <v>17</v>
      </c>
      <c r="G37" s="283" t="str">
        <f t="array" ref="G37">IFERROR(INDEX('計測入力シート（ここのみ編集可）'!$D$17:$D$116,MATCH(A35&amp;B35,'計測入力シート（ここのみ編集可）'!$BO$17:$BO$116,0)),"")</f>
        <v>P</v>
      </c>
      <c r="H37" s="284"/>
    </row>
    <row r="38" ht="27.0" customHeight="1">
      <c r="D38" s="285" t="s">
        <v>1</v>
      </c>
      <c r="E38" s="286" t="str">
        <f t="array" ref="E38">IFERROR(INDEX('計測入力シート（ここのみ編集可）'!$B$17:$B$116,MATCH(A35&amp;B35,'計測入力シート（ここのみ編集可）'!$BO$17:$BO$116,0)),"")</f>
        <v>B</v>
      </c>
      <c r="F38" s="287" t="s">
        <v>18</v>
      </c>
      <c r="G38" s="288" t="str">
        <f t="array" ref="G38">IFERROR(INDEX('計測入力シート（ここのみ編集可）'!$E$17:$E$116,MATCH(A35&amp;B35,'計測入力シート（ここのみ編集可）'!$BO$17:$BO$116,0)),"")</f>
        <v>XSR155</v>
      </c>
      <c r="H38" s="289"/>
    </row>
    <row r="39" ht="24.75" customHeight="1">
      <c r="D39" s="290" t="s">
        <v>92</v>
      </c>
      <c r="E39" s="291" t="str">
        <f t="array" ref="E39">IFERROR(INDEX(#REF!,MATCH(A35&amp;B35,'計測入力シート（ここのみ編集可）'!$BO$17:$BO$116,0)),"")</f>
        <v/>
      </c>
      <c r="H39" s="232"/>
    </row>
    <row r="40" ht="52.5" customHeight="1">
      <c r="D40" s="292" t="s">
        <v>100</v>
      </c>
      <c r="E40" s="293" t="str">
        <f t="array" ref="E40">IFERROR(INDEX(#REF!,MATCH(A35&amp;B35,'計測入力シート（ここのみ編集可）'!$BO$17:$BO$116,0)),"")</f>
        <v/>
      </c>
      <c r="F40" s="95"/>
      <c r="G40" s="95"/>
      <c r="H40" s="96"/>
    </row>
    <row r="41" ht="20.25" customHeight="1">
      <c r="D41" s="294" t="s">
        <v>39</v>
      </c>
      <c r="E41" s="295" t="str">
        <f t="array" ref="E41">IFERROR(INDEX('計測入力シート（ここのみ編集可）'!$AW$17:$AW$116,MATCH(A35&amp;B35,'計測入力シート（ここのみ編集可）'!$BO$17:$BO$116,0)),"")</f>
        <v>1:54:612</v>
      </c>
      <c r="F41" s="296"/>
      <c r="G41" s="297" t="s">
        <v>110</v>
      </c>
      <c r="H41" s="298" t="str">
        <f t="array" ref="H41">IFERROR(INDEX('計測入力シート（ここのみ編集可）'!$AY$17:$AY$116,MATCH(A35&amp;B35,'計測入力シート（ここのみ編集可）'!$BO$17:$BO$116,0)),"")</f>
        <v>-</v>
      </c>
    </row>
    <row r="42" ht="20.25" customHeight="1">
      <c r="D42" s="299" t="s">
        <v>42</v>
      </c>
      <c r="E42" s="300" t="str">
        <f t="array" ref="E42">IFERROR(INDEX('計測入力シート（ここのみ編集可）'!$AZ$17:$AZ$116,MATCH(A35&amp;B35,'計測入力シート（ここのみ編集可）'!$BO$17:$BO$116,0)),"")</f>
        <v>1:54:509</v>
      </c>
      <c r="F42" s="116"/>
      <c r="G42" s="301" t="s">
        <v>111</v>
      </c>
      <c r="H42" s="302">
        <f t="array" ref="H42">IFERROR(INDEX('計測入力シート（ここのみ編集可）'!$BB$17:$BB$116,MATCH(A35&amp;B35,'計測入力シート（ここのみ編集可）'!$BO$17:$BO$116,0)),"")</f>
        <v>2</v>
      </c>
    </row>
    <row r="43" ht="20.25" customHeight="1">
      <c r="D43" s="303" t="s">
        <v>112</v>
      </c>
      <c r="E43" s="304" t="str">
        <f t="array" ref="E43">IFERROR(INDEX('計測入力シート（ここのみ編集可）'!$BC$17:$BC$116,MATCH(A35&amp;B35,'計測入力シート（ここのみ編集可）'!$BO$17:$BO$116,0)),"")</f>
        <v>1:54:612</v>
      </c>
      <c r="F43" s="305"/>
      <c r="G43" s="306" t="s">
        <v>25</v>
      </c>
      <c r="H43" s="307">
        <f t="array" ref="H43">IFERROR(INDEX('計測入力シート（ここのみ編集可）'!$BD$17:$BD$116,MATCH(A35&amp;B35,'計測入力シート（ここのみ編集可）'!$BO$17:$BO$116,0)),"")</f>
        <v>1.174231092</v>
      </c>
    </row>
    <row r="44" ht="20.25" customHeight="1">
      <c r="D44" s="308"/>
    </row>
    <row r="45" ht="27.0" customHeight="1">
      <c r="A45" s="52" t="str">
        <f>A35</f>
        <v>B</v>
      </c>
      <c r="B45" s="52">
        <f>B35+1</f>
        <v>5</v>
      </c>
      <c r="D45" s="271" t="s">
        <v>80</v>
      </c>
      <c r="E45" s="272" t="s">
        <v>81</v>
      </c>
      <c r="F45" s="272" t="s">
        <v>82</v>
      </c>
      <c r="G45" s="273" t="s">
        <v>49</v>
      </c>
      <c r="H45" s="274"/>
    </row>
    <row r="46" ht="27.0" customHeight="1">
      <c r="A46" s="86"/>
      <c r="B46" s="86"/>
      <c r="D46" s="275" t="str">
        <f t="array" ref="D46">IFERROR(INDEX('計測入力シート（ここのみ編集可）'!$BN$17:$BN$116,MATCH(A45&amp;B45,'計測入力シート（ここのみ編集可）'!$BO$17:$BO$116,0)),"")</f>
        <v/>
      </c>
      <c r="E46" s="276" t="str">
        <f t="array" ref="E46">IFERROR(INDEX('計測入力シート（ここのみ編集可）'!$BP$17:$BP$116,MATCH(A45&amp;B45,'計測入力シート（ここのみ編集可）'!$BO$17:$BO$116,0)),"")</f>
        <v/>
      </c>
      <c r="F46" s="277" t="str">
        <f t="array" ref="F46">IFERROR(INDEX('計測入力シート（ここのみ編集可）'!$BR$17:$BR$116,MATCH(A45&amp;B45,'計測入力シート（ここのみ編集可）'!$BO$17:$BO$116,0)),"")</f>
        <v/>
      </c>
      <c r="G46" s="278" t="str">
        <f t="array" ref="G46">IFERROR(INDEX('計測入力シート（ここのみ編集可）'!$BL$17:$BL$116,MATCH(A45&amp;B45,'計測入力シート（ここのみ編集可）'!$BO$17:$BO$116,0)),"")</f>
        <v/>
      </c>
      <c r="H46" s="279"/>
    </row>
    <row r="47" ht="27.0" customHeight="1">
      <c r="D47" s="280" t="s">
        <v>2</v>
      </c>
      <c r="E47" s="281" t="str">
        <f t="array" ref="E47">IFERROR(INDEX('計測入力シート（ここのみ編集可）'!$C$17:$C$116,MATCH(A45&amp;B45,'計測入力シート（ここのみ編集可）'!$BO$17:$BO$116,0)),"")</f>
        <v/>
      </c>
      <c r="F47" s="282" t="s">
        <v>17</v>
      </c>
      <c r="G47" s="283" t="str">
        <f t="array" ref="G47">IFERROR(INDEX('計測入力シート（ここのみ編集可）'!$D$17:$D$116,MATCH(A45&amp;B45,'計測入力シート（ここのみ編集可）'!$BO$17:$BO$116,0)),"")</f>
        <v/>
      </c>
      <c r="H47" s="284"/>
    </row>
    <row r="48" ht="27.0" customHeight="1">
      <c r="D48" s="285" t="s">
        <v>1</v>
      </c>
      <c r="E48" s="286" t="str">
        <f t="array" ref="E48">IFERROR(INDEX('計測入力シート（ここのみ編集可）'!$B$17:$B$116,MATCH(A45&amp;B45,'計測入力シート（ここのみ編集可）'!$BO$17:$BO$116,0)),"")</f>
        <v/>
      </c>
      <c r="F48" s="287" t="s">
        <v>18</v>
      </c>
      <c r="G48" s="288" t="str">
        <f t="array" ref="G48">IFERROR(INDEX('計測入力シート（ここのみ編集可）'!$E$17:$E$116,MATCH(A45&amp;B45,'計測入力シート（ここのみ編集可）'!$BO$17:$BO$116,0)),"")</f>
        <v/>
      </c>
      <c r="H48" s="289"/>
    </row>
    <row r="49" ht="24.75" customHeight="1">
      <c r="D49" s="290" t="s">
        <v>92</v>
      </c>
      <c r="E49" s="291" t="str">
        <f t="array" ref="E49">IFERROR(INDEX(#REF!,MATCH(A45&amp;B45,'計測入力シート（ここのみ編集可）'!$BO$17:$BO$116,0)),"")</f>
        <v/>
      </c>
      <c r="H49" s="232"/>
    </row>
    <row r="50" ht="52.5" customHeight="1">
      <c r="D50" s="292" t="s">
        <v>100</v>
      </c>
      <c r="E50" s="293" t="str">
        <f t="array" ref="E50">IFERROR(INDEX(#REF!,MATCH(A45&amp;B45,'計測入力シート（ここのみ編集可）'!$BO$17:$BO$116,0)),"")</f>
        <v/>
      </c>
      <c r="F50" s="95"/>
      <c r="G50" s="95"/>
      <c r="H50" s="96"/>
    </row>
    <row r="51" ht="20.25" customHeight="1">
      <c r="D51" s="294" t="s">
        <v>39</v>
      </c>
      <c r="E51" s="295" t="str">
        <f t="array" ref="E51">IFERROR(INDEX('計測入力シート（ここのみ編集可）'!$AW$17:$AW$116,MATCH(A45&amp;B45,'計測入力シート（ここのみ編集可）'!$BO$17:$BO$116,0)),"")</f>
        <v/>
      </c>
      <c r="F51" s="296"/>
      <c r="G51" s="297" t="s">
        <v>110</v>
      </c>
      <c r="H51" s="298" t="str">
        <f t="array" ref="H51">IFERROR(INDEX('計測入力シート（ここのみ編集可）'!$AY$17:$AY$116,MATCH(A45&amp;B45,'計測入力シート（ここのみ編集可）'!$BO$17:$BO$116,0)),"")</f>
        <v/>
      </c>
    </row>
    <row r="52" ht="20.25" customHeight="1">
      <c r="D52" s="299" t="s">
        <v>42</v>
      </c>
      <c r="E52" s="300" t="str">
        <f t="array" ref="E52">IFERROR(INDEX('計測入力シート（ここのみ編集可）'!$AZ$17:$AZ$116,MATCH(A45&amp;B45,'計測入力シート（ここのみ編集可）'!$BO$17:$BO$116,0)),"")</f>
        <v/>
      </c>
      <c r="F52" s="116"/>
      <c r="G52" s="301" t="s">
        <v>111</v>
      </c>
      <c r="H52" s="302" t="str">
        <f t="array" ref="H52">IFERROR(INDEX('計測入力シート（ここのみ編集可）'!$BB$17:$BB$116,MATCH(A45&amp;B45,'計測入力シート（ここのみ編集可）'!$BO$17:$BO$116,0)),"")</f>
        <v/>
      </c>
    </row>
    <row r="53" ht="20.25" customHeight="1">
      <c r="D53" s="303" t="s">
        <v>112</v>
      </c>
      <c r="E53" s="304" t="str">
        <f t="array" ref="E53">IFERROR(INDEX('計測入力シート（ここのみ編集可）'!$BC$17:$BC$116,MATCH(A45&amp;B45,'計測入力シート（ここのみ編集可）'!$BO$17:$BO$116,0)),"")</f>
        <v/>
      </c>
      <c r="F53" s="305"/>
      <c r="G53" s="306" t="s">
        <v>25</v>
      </c>
      <c r="H53" s="307" t="str">
        <f t="array" ref="H53">IFERROR(INDEX('計測入力シート（ここのみ編集可）'!$BD$17:$BD$116,MATCH(A45&amp;B45,'計測入力シート（ここのみ編集可）'!$BO$17:$BO$116,0)),"")</f>
        <v/>
      </c>
    </row>
    <row r="54" ht="20.25" customHeight="1">
      <c r="D54" s="308"/>
    </row>
    <row r="55" ht="27.0" customHeight="1">
      <c r="A55" s="52" t="str">
        <f>A45</f>
        <v>B</v>
      </c>
      <c r="B55" s="52">
        <f>B45+1</f>
        <v>6</v>
      </c>
      <c r="D55" s="271" t="s">
        <v>80</v>
      </c>
      <c r="E55" s="272" t="s">
        <v>81</v>
      </c>
      <c r="F55" s="272" t="s">
        <v>82</v>
      </c>
      <c r="G55" s="273" t="s">
        <v>49</v>
      </c>
      <c r="H55" s="274"/>
    </row>
    <row r="56" ht="27.0" customHeight="1">
      <c r="A56" s="86"/>
      <c r="B56" s="86"/>
      <c r="D56" s="275" t="str">
        <f t="array" ref="D56">IFERROR(INDEX('計測入力シート（ここのみ編集可）'!$BN$17:$BN$116,MATCH(A55&amp;B55,'計測入力シート（ここのみ編集可）'!$BO$17:$BO$116,0)),"")</f>
        <v/>
      </c>
      <c r="E56" s="276" t="str">
        <f t="array" ref="E56">IFERROR(INDEX('計測入力シート（ここのみ編集可）'!$BP$17:$BP$116,MATCH(A55&amp;B55,'計測入力シート（ここのみ編集可）'!$BO$17:$BO$116,0)),"")</f>
        <v/>
      </c>
      <c r="F56" s="277" t="str">
        <f t="array" ref="F56">IFERROR(INDEX('計測入力シート（ここのみ編集可）'!$BR$17:$BR$116,MATCH(A55&amp;B55,'計測入力シート（ここのみ編集可）'!$BO$17:$BO$116,0)),"")</f>
        <v/>
      </c>
      <c r="G56" s="278" t="str">
        <f t="array" ref="G56">IFERROR(INDEX('計測入力シート（ここのみ編集可）'!$BL$17:$BL$116,MATCH(A55&amp;B55,'計測入力シート（ここのみ編集可）'!$BO$17:$BO$116,0)),"")</f>
        <v/>
      </c>
      <c r="H56" s="279"/>
    </row>
    <row r="57" ht="27.0" customHeight="1">
      <c r="D57" s="280" t="s">
        <v>2</v>
      </c>
      <c r="E57" s="281" t="str">
        <f t="array" ref="E57">IFERROR(INDEX('計測入力シート（ここのみ編集可）'!$C$17:$C$116,MATCH(A55&amp;B55,'計測入力シート（ここのみ編集可）'!$BO$17:$BO$116,0)),"")</f>
        <v/>
      </c>
      <c r="F57" s="282" t="s">
        <v>17</v>
      </c>
      <c r="G57" s="283" t="str">
        <f t="array" ref="G57">IFERROR(INDEX('計測入力シート（ここのみ編集可）'!$D$17:$D$116,MATCH(A55&amp;B55,'計測入力シート（ここのみ編集可）'!$BO$17:$BO$116,0)),"")</f>
        <v/>
      </c>
      <c r="H57" s="284"/>
    </row>
    <row r="58" ht="27.0" customHeight="1">
      <c r="D58" s="285" t="s">
        <v>1</v>
      </c>
      <c r="E58" s="286" t="str">
        <f t="array" ref="E58">IFERROR(INDEX('計測入力シート（ここのみ編集可）'!$B$17:$B$116,MATCH(A55&amp;B55,'計測入力シート（ここのみ編集可）'!$BO$17:$BO$116,0)),"")</f>
        <v/>
      </c>
      <c r="F58" s="287" t="s">
        <v>18</v>
      </c>
      <c r="G58" s="288" t="str">
        <f t="array" ref="G58">IFERROR(INDEX('計測入力シート（ここのみ編集可）'!$E$17:$E$116,MATCH(A55&amp;B55,'計測入力シート（ここのみ編集可）'!$BO$17:$BO$116,0)),"")</f>
        <v/>
      </c>
      <c r="H58" s="289"/>
    </row>
    <row r="59" ht="24.75" customHeight="1">
      <c r="D59" s="290" t="s">
        <v>92</v>
      </c>
      <c r="E59" s="291" t="str">
        <f t="array" ref="E59">IFERROR(INDEX(#REF!,MATCH(A55&amp;B55,'計測入力シート（ここのみ編集可）'!$BO$17:$BO$116,0)),"")</f>
        <v/>
      </c>
      <c r="H59" s="232"/>
    </row>
    <row r="60" ht="52.5" customHeight="1">
      <c r="D60" s="292" t="s">
        <v>100</v>
      </c>
      <c r="E60" s="293" t="str">
        <f t="array" ref="E60">IFERROR(INDEX(#REF!,MATCH(A55&amp;B55,'計測入力シート（ここのみ編集可）'!$BO$17:$BO$116,0)),"")</f>
        <v/>
      </c>
      <c r="F60" s="95"/>
      <c r="G60" s="95"/>
      <c r="H60" s="96"/>
    </row>
    <row r="61" ht="20.25" customHeight="1">
      <c r="D61" s="294" t="s">
        <v>39</v>
      </c>
      <c r="E61" s="295" t="str">
        <f t="array" ref="E61">IFERROR(INDEX('計測入力シート（ここのみ編集可）'!$AW$17:$AW$116,MATCH(A55&amp;B55,'計測入力シート（ここのみ編集可）'!$BO$17:$BO$116,0)),"")</f>
        <v/>
      </c>
      <c r="F61" s="296"/>
      <c r="G61" s="297" t="s">
        <v>110</v>
      </c>
      <c r="H61" s="298" t="str">
        <f t="array" ref="H61">IFERROR(INDEX('計測入力シート（ここのみ編集可）'!$AY$17:$AY$116,MATCH(A55&amp;B55,'計測入力シート（ここのみ編集可）'!$BO$17:$BO$116,0)),"")</f>
        <v/>
      </c>
    </row>
    <row r="62" ht="20.25" customHeight="1">
      <c r="D62" s="299" t="s">
        <v>42</v>
      </c>
      <c r="E62" s="300" t="str">
        <f t="array" ref="E62">IFERROR(INDEX('計測入力シート（ここのみ編集可）'!$AZ$17:$AZ$116,MATCH(A55&amp;B55,'計測入力シート（ここのみ編集可）'!$BO$17:$BO$116,0)),"")</f>
        <v/>
      </c>
      <c r="F62" s="116"/>
      <c r="G62" s="301" t="s">
        <v>111</v>
      </c>
      <c r="H62" s="302" t="str">
        <f t="array" ref="H62">IFERROR(INDEX('計測入力シート（ここのみ編集可）'!$BB$17:$BB$116,MATCH(A55&amp;B55,'計測入力シート（ここのみ編集可）'!$BO$17:$BO$116,0)),"")</f>
        <v/>
      </c>
    </row>
    <row r="63" ht="20.25" customHeight="1">
      <c r="D63" s="303" t="s">
        <v>112</v>
      </c>
      <c r="E63" s="304" t="str">
        <f t="array" ref="E63">IFERROR(INDEX('計測入力シート（ここのみ編集可）'!$BC$17:$BC$116,MATCH(A55&amp;B55,'計測入力シート（ここのみ編集可）'!$BO$17:$BO$116,0)),"")</f>
        <v/>
      </c>
      <c r="F63" s="305"/>
      <c r="G63" s="306" t="s">
        <v>25</v>
      </c>
      <c r="H63" s="307" t="str">
        <f t="array" ref="H63">IFERROR(INDEX('計測入力シート（ここのみ編集可）'!$BD$17:$BD$116,MATCH(A55&amp;B55,'計測入力シート（ここのみ編集可）'!$BO$17:$BO$116,0)),"")</f>
        <v/>
      </c>
    </row>
    <row r="64" ht="20.25" customHeight="1">
      <c r="D64" s="308"/>
    </row>
    <row r="65" ht="27.0" customHeight="1">
      <c r="A65" s="52" t="str">
        <f>A55</f>
        <v>B</v>
      </c>
      <c r="B65" s="52">
        <f>B55+1</f>
        <v>7</v>
      </c>
      <c r="D65" s="271" t="s">
        <v>80</v>
      </c>
      <c r="E65" s="272" t="s">
        <v>81</v>
      </c>
      <c r="F65" s="272" t="s">
        <v>82</v>
      </c>
      <c r="G65" s="273" t="s">
        <v>49</v>
      </c>
      <c r="H65" s="274"/>
    </row>
    <row r="66" ht="27.0" customHeight="1">
      <c r="A66" s="86"/>
      <c r="B66" s="86"/>
      <c r="D66" s="275" t="str">
        <f t="array" ref="D66">IFERROR(INDEX('計測入力シート（ここのみ編集可）'!$BN$17:$BN$116,MATCH(A65&amp;B65,'計測入力シート（ここのみ編集可）'!$BO$17:$BO$116,0)),"")</f>
        <v/>
      </c>
      <c r="E66" s="276" t="str">
        <f t="array" ref="E66">IFERROR(INDEX('計測入力シート（ここのみ編集可）'!$BP$17:$BP$116,MATCH(A65&amp;B65,'計測入力シート（ここのみ編集可）'!$BO$17:$BO$116,0)),"")</f>
        <v/>
      </c>
      <c r="F66" s="277" t="str">
        <f t="array" ref="F66">IFERROR(INDEX('計測入力シート（ここのみ編集可）'!$BR$17:$BR$116,MATCH(A65&amp;B65,'計測入力シート（ここのみ編集可）'!$BO$17:$BO$116,0)),"")</f>
        <v/>
      </c>
      <c r="G66" s="278" t="str">
        <f t="array" ref="G66">IFERROR(INDEX('計測入力シート（ここのみ編集可）'!$BL$17:$BL$116,MATCH(A65&amp;B65,'計測入力シート（ここのみ編集可）'!$BO$17:$BO$116,0)),"")</f>
        <v/>
      </c>
      <c r="H66" s="279"/>
    </row>
    <row r="67" ht="27.0" customHeight="1">
      <c r="D67" s="280" t="s">
        <v>2</v>
      </c>
      <c r="E67" s="281" t="str">
        <f t="array" ref="E67">IFERROR(INDEX('計測入力シート（ここのみ編集可）'!$C$17:$C$116,MATCH(A65&amp;B65,'計測入力シート（ここのみ編集可）'!$BO$17:$BO$116,0)),"")</f>
        <v/>
      </c>
      <c r="F67" s="282" t="s">
        <v>17</v>
      </c>
      <c r="G67" s="283" t="str">
        <f t="array" ref="G67">IFERROR(INDEX('計測入力シート（ここのみ編集可）'!$D$17:$D$116,MATCH(A65&amp;B65,'計測入力シート（ここのみ編集可）'!$BO$17:$BO$116,0)),"")</f>
        <v/>
      </c>
      <c r="H67" s="284"/>
    </row>
    <row r="68" ht="27.0" customHeight="1">
      <c r="D68" s="285" t="s">
        <v>1</v>
      </c>
      <c r="E68" s="286" t="str">
        <f t="array" ref="E68">IFERROR(INDEX('計測入力シート（ここのみ編集可）'!$B$17:$B$116,MATCH(A65&amp;B65,'計測入力シート（ここのみ編集可）'!$BO$17:$BO$116,0)),"")</f>
        <v/>
      </c>
      <c r="F68" s="287" t="s">
        <v>18</v>
      </c>
      <c r="G68" s="288" t="str">
        <f t="array" ref="G68">IFERROR(INDEX('計測入力シート（ここのみ編集可）'!$E$17:$E$116,MATCH(A65&amp;B65,'計測入力シート（ここのみ編集可）'!$BO$17:$BO$116,0)),"")</f>
        <v/>
      </c>
      <c r="H68" s="289"/>
    </row>
    <row r="69" ht="24.75" customHeight="1">
      <c r="D69" s="290" t="s">
        <v>92</v>
      </c>
      <c r="E69" s="291" t="str">
        <f t="array" ref="E69">IFERROR(INDEX(#REF!,MATCH(A65&amp;B65,'計測入力シート（ここのみ編集可）'!$BO$17:$BO$116,0)),"")</f>
        <v/>
      </c>
      <c r="H69" s="232"/>
    </row>
    <row r="70" ht="52.5" customHeight="1">
      <c r="D70" s="292" t="s">
        <v>100</v>
      </c>
      <c r="E70" s="293" t="str">
        <f t="array" ref="E70">IFERROR(INDEX(#REF!,MATCH(A65&amp;B65,'計測入力シート（ここのみ編集可）'!$BO$17:$BO$116,0)),"")</f>
        <v/>
      </c>
      <c r="F70" s="95"/>
      <c r="G70" s="95"/>
      <c r="H70" s="96"/>
    </row>
    <row r="71" ht="20.25" customHeight="1">
      <c r="D71" s="294" t="s">
        <v>39</v>
      </c>
      <c r="E71" s="295" t="str">
        <f t="array" ref="E71">IFERROR(INDEX('計測入力シート（ここのみ編集可）'!$AW$17:$AW$116,MATCH(A65&amp;B65,'計測入力シート（ここのみ編集可）'!$BO$17:$BO$116,0)),"")</f>
        <v/>
      </c>
      <c r="F71" s="296"/>
      <c r="G71" s="297" t="s">
        <v>110</v>
      </c>
      <c r="H71" s="298" t="str">
        <f t="array" ref="H71">IFERROR(INDEX('計測入力シート（ここのみ編集可）'!$AY$17:$AY$116,MATCH(A65&amp;B65,'計測入力シート（ここのみ編集可）'!$BO$17:$BO$116,0)),"")</f>
        <v/>
      </c>
    </row>
    <row r="72" ht="20.25" customHeight="1">
      <c r="D72" s="299" t="s">
        <v>42</v>
      </c>
      <c r="E72" s="300" t="str">
        <f t="array" ref="E72">IFERROR(INDEX('計測入力シート（ここのみ編集可）'!$AZ$17:$AZ$116,MATCH(A65&amp;B65,'計測入力シート（ここのみ編集可）'!$BO$17:$BO$116,0)),"")</f>
        <v/>
      </c>
      <c r="F72" s="116"/>
      <c r="G72" s="301" t="s">
        <v>111</v>
      </c>
      <c r="H72" s="302" t="str">
        <f t="array" ref="H72">IFERROR(INDEX('計測入力シート（ここのみ編集可）'!$BB$17:$BB$116,MATCH(A65&amp;B65,'計測入力シート（ここのみ編集可）'!$BO$17:$BO$116,0)),"")</f>
        <v/>
      </c>
    </row>
    <row r="73" ht="20.25" customHeight="1">
      <c r="D73" s="303" t="s">
        <v>112</v>
      </c>
      <c r="E73" s="304" t="str">
        <f t="array" ref="E73">IFERROR(INDEX('計測入力シート（ここのみ編集可）'!$BC$17:$BC$116,MATCH(A65&amp;B65,'計測入力シート（ここのみ編集可）'!$BO$17:$BO$116,0)),"")</f>
        <v/>
      </c>
      <c r="F73" s="305"/>
      <c r="G73" s="306" t="s">
        <v>25</v>
      </c>
      <c r="H73" s="307" t="str">
        <f t="array" ref="H73">IFERROR(INDEX('計測入力シート（ここのみ編集可）'!$BD$17:$BD$116,MATCH(A65&amp;B65,'計測入力シート（ここのみ編集可）'!$BO$17:$BO$116,0)),"")</f>
        <v/>
      </c>
    </row>
    <row r="74" ht="20.25" customHeight="1">
      <c r="D74" s="308"/>
    </row>
    <row r="75" ht="27.0" customHeight="1">
      <c r="A75" s="52" t="str">
        <f>A65</f>
        <v>B</v>
      </c>
      <c r="B75" s="52">
        <f>B65+1</f>
        <v>8</v>
      </c>
      <c r="D75" s="271" t="s">
        <v>80</v>
      </c>
      <c r="E75" s="272" t="s">
        <v>81</v>
      </c>
      <c r="F75" s="272" t="s">
        <v>82</v>
      </c>
      <c r="G75" s="273" t="s">
        <v>49</v>
      </c>
      <c r="H75" s="274"/>
    </row>
    <row r="76" ht="27.0" customHeight="1">
      <c r="A76" s="86"/>
      <c r="B76" s="86"/>
      <c r="D76" s="275" t="str">
        <f t="array" ref="D76">IFERROR(INDEX('計測入力シート（ここのみ編集可）'!$BN$17:$BN$116,MATCH(A75&amp;B75,'計測入力シート（ここのみ編集可）'!$BO$17:$BO$116,0)),"")</f>
        <v/>
      </c>
      <c r="E76" s="276" t="str">
        <f t="array" ref="E76">IFERROR(INDEX('計測入力シート（ここのみ編集可）'!$BP$17:$BP$116,MATCH(A75&amp;B75,'計測入力シート（ここのみ編集可）'!$BO$17:$BO$116,0)),"")</f>
        <v/>
      </c>
      <c r="F76" s="277" t="str">
        <f t="array" ref="F76">IFERROR(INDEX('計測入力シート（ここのみ編集可）'!$BR$17:$BR$116,MATCH(A75&amp;B75,'計測入力シート（ここのみ編集可）'!$BO$17:$BO$116,0)),"")</f>
        <v/>
      </c>
      <c r="G76" s="278" t="str">
        <f t="array" ref="G76">IFERROR(INDEX('計測入力シート（ここのみ編集可）'!$BL$17:$BL$116,MATCH(A75&amp;B75,'計測入力シート（ここのみ編集可）'!$BO$17:$BO$116,0)),"")</f>
        <v/>
      </c>
      <c r="H76" s="279"/>
    </row>
    <row r="77" ht="27.0" customHeight="1">
      <c r="D77" s="280" t="s">
        <v>2</v>
      </c>
      <c r="E77" s="281" t="str">
        <f t="array" ref="E77">IFERROR(INDEX('計測入力シート（ここのみ編集可）'!$C$17:$C$116,MATCH(A75&amp;B75,'計測入力シート（ここのみ編集可）'!$BO$17:$BO$116,0)),"")</f>
        <v/>
      </c>
      <c r="F77" s="282" t="s">
        <v>17</v>
      </c>
      <c r="G77" s="283" t="str">
        <f t="array" ref="G77">IFERROR(INDEX('計測入力シート（ここのみ編集可）'!$D$17:$D$116,MATCH(A75&amp;B75,'計測入力シート（ここのみ編集可）'!$BO$17:$BO$116,0)),"")</f>
        <v/>
      </c>
      <c r="H77" s="284"/>
    </row>
    <row r="78" ht="27.0" customHeight="1">
      <c r="D78" s="285" t="s">
        <v>1</v>
      </c>
      <c r="E78" s="286" t="str">
        <f t="array" ref="E78">IFERROR(INDEX('計測入力シート（ここのみ編集可）'!$B$17:$B$116,MATCH(A75&amp;B75,'計測入力シート（ここのみ編集可）'!$BO$17:$BO$116,0)),"")</f>
        <v/>
      </c>
      <c r="F78" s="287" t="s">
        <v>18</v>
      </c>
      <c r="G78" s="288" t="str">
        <f t="array" ref="G78">IFERROR(INDEX('計測入力シート（ここのみ編集可）'!$E$17:$E$116,MATCH(A75&amp;B75,'計測入力シート（ここのみ編集可）'!$BO$17:$BO$116,0)),"")</f>
        <v/>
      </c>
      <c r="H78" s="289"/>
    </row>
    <row r="79" ht="24.75" customHeight="1">
      <c r="D79" s="290" t="s">
        <v>92</v>
      </c>
      <c r="E79" s="291" t="str">
        <f t="array" ref="E79">IFERROR(INDEX(#REF!,MATCH(A75&amp;B75,'計測入力シート（ここのみ編集可）'!$BO$17:$BO$116,0)),"")</f>
        <v/>
      </c>
      <c r="H79" s="232"/>
    </row>
    <row r="80" ht="52.5" customHeight="1">
      <c r="D80" s="292" t="s">
        <v>100</v>
      </c>
      <c r="E80" s="293" t="str">
        <f t="array" ref="E80">IFERROR(INDEX(#REF!,MATCH(A75&amp;B75,'計測入力シート（ここのみ編集可）'!$BO$17:$BO$116,0)),"")</f>
        <v/>
      </c>
      <c r="F80" s="95"/>
      <c r="G80" s="95"/>
      <c r="H80" s="96"/>
    </row>
    <row r="81" ht="20.25" customHeight="1">
      <c r="D81" s="294" t="s">
        <v>39</v>
      </c>
      <c r="E81" s="295" t="str">
        <f t="array" ref="E81">IFERROR(INDEX('計測入力シート（ここのみ編集可）'!$AW$17:$AW$116,MATCH(A75&amp;B75,'計測入力シート（ここのみ編集可）'!$BO$17:$BO$116,0)),"")</f>
        <v/>
      </c>
      <c r="F81" s="296"/>
      <c r="G81" s="297" t="s">
        <v>110</v>
      </c>
      <c r="H81" s="298" t="str">
        <f t="array" ref="H81">IFERROR(INDEX('計測入力シート（ここのみ編集可）'!$AY$17:$AY$116,MATCH(A75&amp;B75,'計測入力シート（ここのみ編集可）'!$BO$17:$BO$116,0)),"")</f>
        <v/>
      </c>
    </row>
    <row r="82" ht="20.25" customHeight="1">
      <c r="D82" s="299" t="s">
        <v>42</v>
      </c>
      <c r="E82" s="300" t="str">
        <f t="array" ref="E82">IFERROR(INDEX('計測入力シート（ここのみ編集可）'!$AZ$17:$AZ$116,MATCH(A75&amp;B75,'計測入力シート（ここのみ編集可）'!$BO$17:$BO$116,0)),"")</f>
        <v/>
      </c>
      <c r="F82" s="116"/>
      <c r="G82" s="301" t="s">
        <v>111</v>
      </c>
      <c r="H82" s="302" t="str">
        <f t="array" ref="H82">IFERROR(INDEX('計測入力シート（ここのみ編集可）'!$BB$17:$BB$116,MATCH(A75&amp;B75,'計測入力シート（ここのみ編集可）'!$BO$17:$BO$116,0)),"")</f>
        <v/>
      </c>
    </row>
    <row r="83" ht="20.25" customHeight="1">
      <c r="D83" s="303" t="s">
        <v>112</v>
      </c>
      <c r="E83" s="304" t="str">
        <f t="array" ref="E83">IFERROR(INDEX('計測入力シート（ここのみ編集可）'!$BC$17:$BC$116,MATCH(A75&amp;B75,'計測入力シート（ここのみ編集可）'!$BO$17:$BO$116,0)),"")</f>
        <v/>
      </c>
      <c r="F83" s="305"/>
      <c r="G83" s="306" t="s">
        <v>25</v>
      </c>
      <c r="H83" s="307" t="str">
        <f t="array" ref="H83">IFERROR(INDEX('計測入力シート（ここのみ編集可）'!$BD$17:$BD$116,MATCH(A75&amp;B75,'計測入力シート（ここのみ編集可）'!$BO$17:$BO$116,0)),"")</f>
        <v/>
      </c>
    </row>
    <row r="84" ht="20.25" customHeight="1">
      <c r="D84" s="308"/>
    </row>
    <row r="85" ht="27.0" customHeight="1">
      <c r="A85" s="52" t="str">
        <f>A75</f>
        <v>B</v>
      </c>
      <c r="B85" s="52">
        <f>B75+1</f>
        <v>9</v>
      </c>
      <c r="D85" s="271" t="s">
        <v>80</v>
      </c>
      <c r="E85" s="272" t="s">
        <v>81</v>
      </c>
      <c r="F85" s="272" t="s">
        <v>82</v>
      </c>
      <c r="G85" s="273" t="s">
        <v>49</v>
      </c>
      <c r="H85" s="274"/>
    </row>
    <row r="86" ht="27.0" customHeight="1">
      <c r="A86" s="86"/>
      <c r="B86" s="86"/>
      <c r="D86" s="275" t="str">
        <f t="array" ref="D86">IFERROR(INDEX('計測入力シート（ここのみ編集可）'!$BN$17:$BN$116,MATCH(A85&amp;B85,'計測入力シート（ここのみ編集可）'!$BO$17:$BO$116,0)),"")</f>
        <v/>
      </c>
      <c r="E86" s="276" t="str">
        <f t="array" ref="E86">IFERROR(INDEX('計測入力シート（ここのみ編集可）'!$BP$17:$BP$116,MATCH(A85&amp;B85,'計測入力シート（ここのみ編集可）'!$BO$17:$BO$116,0)),"")</f>
        <v/>
      </c>
      <c r="F86" s="277" t="str">
        <f t="array" ref="F86">IFERROR(INDEX('計測入力シート（ここのみ編集可）'!$BR$17:$BR$116,MATCH(A85&amp;B85,'計測入力シート（ここのみ編集可）'!$BO$17:$BO$116,0)),"")</f>
        <v/>
      </c>
      <c r="G86" s="278" t="str">
        <f t="array" ref="G86">IFERROR(INDEX('計測入力シート（ここのみ編集可）'!$BL$17:$BL$116,MATCH(A85&amp;B85,'計測入力シート（ここのみ編集可）'!$BO$17:$BO$116,0)),"")</f>
        <v/>
      </c>
      <c r="H86" s="279"/>
    </row>
    <row r="87" ht="27.0" customHeight="1">
      <c r="D87" s="280" t="s">
        <v>2</v>
      </c>
      <c r="E87" s="281" t="str">
        <f t="array" ref="E87">IFERROR(INDEX('計測入力シート（ここのみ編集可）'!$C$17:$C$116,MATCH(A85&amp;B85,'計測入力シート（ここのみ編集可）'!$BO$17:$BO$116,0)),"")</f>
        <v/>
      </c>
      <c r="F87" s="282" t="s">
        <v>17</v>
      </c>
      <c r="G87" s="283" t="str">
        <f t="array" ref="G87">IFERROR(INDEX('計測入力シート（ここのみ編集可）'!$D$17:$D$116,MATCH(A85&amp;B85,'計測入力シート（ここのみ編集可）'!$BO$17:$BO$116,0)),"")</f>
        <v/>
      </c>
      <c r="H87" s="284"/>
    </row>
    <row r="88" ht="27.0" customHeight="1">
      <c r="D88" s="285" t="s">
        <v>1</v>
      </c>
      <c r="E88" s="286" t="str">
        <f t="array" ref="E88">IFERROR(INDEX('計測入力シート（ここのみ編集可）'!$B$17:$B$116,MATCH(A85&amp;B85,'計測入力シート（ここのみ編集可）'!$BO$17:$BO$116,0)),"")</f>
        <v/>
      </c>
      <c r="F88" s="287" t="s">
        <v>18</v>
      </c>
      <c r="G88" s="288" t="str">
        <f t="array" ref="G88">IFERROR(INDEX('計測入力シート（ここのみ編集可）'!$E$17:$E$116,MATCH(A85&amp;B85,'計測入力シート（ここのみ編集可）'!$BO$17:$BO$116,0)),"")</f>
        <v/>
      </c>
      <c r="H88" s="289"/>
    </row>
    <row r="89" ht="24.75" customHeight="1">
      <c r="D89" s="290" t="s">
        <v>92</v>
      </c>
      <c r="E89" s="291" t="str">
        <f t="array" ref="E89">IFERROR(INDEX(#REF!,MATCH(A85&amp;B85,'計測入力シート（ここのみ編集可）'!$BO$17:$BO$116,0)),"")</f>
        <v/>
      </c>
      <c r="H89" s="232"/>
    </row>
    <row r="90" ht="52.5" customHeight="1">
      <c r="D90" s="292" t="s">
        <v>100</v>
      </c>
      <c r="E90" s="293" t="str">
        <f t="array" ref="E90">IFERROR(INDEX(#REF!,MATCH(A85&amp;B85,'計測入力シート（ここのみ編集可）'!$BO$17:$BO$116,0)),"")</f>
        <v/>
      </c>
      <c r="F90" s="95"/>
      <c r="G90" s="95"/>
      <c r="H90" s="96"/>
    </row>
    <row r="91" ht="20.25" customHeight="1">
      <c r="D91" s="294" t="s">
        <v>39</v>
      </c>
      <c r="E91" s="295" t="str">
        <f t="array" ref="E91">IFERROR(INDEX('計測入力シート（ここのみ編集可）'!$AW$17:$AW$116,MATCH(A85&amp;B85,'計測入力シート（ここのみ編集可）'!$BO$17:$BO$116,0)),"")</f>
        <v/>
      </c>
      <c r="F91" s="296"/>
      <c r="G91" s="297" t="s">
        <v>110</v>
      </c>
      <c r="H91" s="298" t="str">
        <f t="array" ref="H91">IFERROR(INDEX('計測入力シート（ここのみ編集可）'!$AY$17:$AY$116,MATCH(A85&amp;B85,'計測入力シート（ここのみ編集可）'!$BO$17:$BO$116,0)),"")</f>
        <v/>
      </c>
    </row>
    <row r="92" ht="20.25" customHeight="1">
      <c r="D92" s="299" t="s">
        <v>42</v>
      </c>
      <c r="E92" s="300" t="str">
        <f t="array" ref="E92">IFERROR(INDEX('計測入力シート（ここのみ編集可）'!$AZ$17:$AZ$116,MATCH(A85&amp;B85,'計測入力シート（ここのみ編集可）'!$BO$17:$BO$116,0)),"")</f>
        <v/>
      </c>
      <c r="F92" s="116"/>
      <c r="G92" s="301" t="s">
        <v>111</v>
      </c>
      <c r="H92" s="302" t="str">
        <f t="array" ref="H92">IFERROR(INDEX('計測入力シート（ここのみ編集可）'!$BB$17:$BB$116,MATCH(A85&amp;B85,'計測入力シート（ここのみ編集可）'!$BO$17:$BO$116,0)),"")</f>
        <v/>
      </c>
    </row>
    <row r="93" ht="20.25" customHeight="1">
      <c r="D93" s="303" t="s">
        <v>112</v>
      </c>
      <c r="E93" s="304" t="str">
        <f t="array" ref="E93">IFERROR(INDEX('計測入力シート（ここのみ編集可）'!$BC$17:$BC$116,MATCH(A85&amp;B85,'計測入力シート（ここのみ編集可）'!$BO$17:$BO$116,0)),"")</f>
        <v/>
      </c>
      <c r="F93" s="305"/>
      <c r="G93" s="306" t="s">
        <v>25</v>
      </c>
      <c r="H93" s="307" t="str">
        <f t="array" ref="H93">IFERROR(INDEX('計測入力シート（ここのみ編集可）'!$BD$17:$BD$116,MATCH(A85&amp;B85,'計測入力シート（ここのみ編集可）'!$BO$17:$BO$116,0)),"")</f>
        <v/>
      </c>
    </row>
    <row r="94" ht="20.25" customHeight="1">
      <c r="D94" s="308"/>
    </row>
    <row r="95" ht="27.0" customHeight="1">
      <c r="A95" s="52" t="str">
        <f>A85</f>
        <v>B</v>
      </c>
      <c r="B95" s="52">
        <f>B85+1</f>
        <v>10</v>
      </c>
      <c r="D95" s="271" t="s">
        <v>80</v>
      </c>
      <c r="E95" s="272" t="s">
        <v>81</v>
      </c>
      <c r="F95" s="272" t="s">
        <v>82</v>
      </c>
      <c r="G95" s="273" t="s">
        <v>49</v>
      </c>
      <c r="H95" s="274"/>
    </row>
    <row r="96" ht="27.0" customHeight="1">
      <c r="A96" s="86"/>
      <c r="B96" s="86"/>
      <c r="D96" s="275" t="str">
        <f t="array" ref="D96">IFERROR(INDEX('計測入力シート（ここのみ編集可）'!$BN$17:$BN$116,MATCH(A95&amp;B95,'計測入力シート（ここのみ編集可）'!$BO$17:$BO$116,0)),"")</f>
        <v/>
      </c>
      <c r="E96" s="276" t="str">
        <f t="array" ref="E96">IFERROR(INDEX('計測入力シート（ここのみ編集可）'!$BP$17:$BP$116,MATCH(A95&amp;B95,'計測入力シート（ここのみ編集可）'!$BO$17:$BO$116,0)),"")</f>
        <v/>
      </c>
      <c r="F96" s="277" t="str">
        <f t="array" ref="F96">IFERROR(INDEX('計測入力シート（ここのみ編集可）'!$BR$17:$BR$116,MATCH(A95&amp;B95,'計測入力シート（ここのみ編集可）'!$BO$17:$BO$116,0)),"")</f>
        <v/>
      </c>
      <c r="G96" s="278" t="str">
        <f t="array" ref="G96">IFERROR(INDEX('計測入力シート（ここのみ編集可）'!$BL$17:$BL$116,MATCH(A95&amp;B95,'計測入力シート（ここのみ編集可）'!$BO$17:$BO$116,0)),"")</f>
        <v/>
      </c>
      <c r="H96" s="279"/>
    </row>
    <row r="97" ht="27.0" customHeight="1">
      <c r="D97" s="280" t="s">
        <v>2</v>
      </c>
      <c r="E97" s="281" t="str">
        <f t="array" ref="E97">IFERROR(INDEX('計測入力シート（ここのみ編集可）'!$C$17:$C$116,MATCH(A95&amp;B95,'計測入力シート（ここのみ編集可）'!$BO$17:$BO$116,0)),"")</f>
        <v/>
      </c>
      <c r="F97" s="282" t="s">
        <v>17</v>
      </c>
      <c r="G97" s="283" t="str">
        <f t="array" ref="G97">IFERROR(INDEX('計測入力シート（ここのみ編集可）'!$D$17:$D$116,MATCH(A95&amp;B95,'計測入力シート（ここのみ編集可）'!$BO$17:$BO$116,0)),"")</f>
        <v/>
      </c>
      <c r="H97" s="284"/>
    </row>
    <row r="98" ht="27.0" customHeight="1">
      <c r="D98" s="285" t="s">
        <v>1</v>
      </c>
      <c r="E98" s="286" t="str">
        <f t="array" ref="E98">IFERROR(INDEX('計測入力シート（ここのみ編集可）'!$B$17:$B$116,MATCH(A95&amp;B95,'計測入力シート（ここのみ編集可）'!$BO$17:$BO$116,0)),"")</f>
        <v/>
      </c>
      <c r="F98" s="287" t="s">
        <v>18</v>
      </c>
      <c r="G98" s="288" t="str">
        <f t="array" ref="G98">IFERROR(INDEX('計測入力シート（ここのみ編集可）'!$E$17:$E$116,MATCH(A95&amp;B95,'計測入力シート（ここのみ編集可）'!$BO$17:$BO$116,0)),"")</f>
        <v/>
      </c>
      <c r="H98" s="289"/>
    </row>
    <row r="99" ht="24.75" customHeight="1">
      <c r="D99" s="290" t="s">
        <v>92</v>
      </c>
      <c r="E99" s="291" t="str">
        <f t="array" ref="E99">IFERROR(INDEX(#REF!,MATCH(A95&amp;B95,'計測入力シート（ここのみ編集可）'!$BO$17:$BO$116,0)),"")</f>
        <v/>
      </c>
      <c r="H99" s="232"/>
    </row>
    <row r="100" ht="52.5" customHeight="1">
      <c r="D100" s="292" t="s">
        <v>100</v>
      </c>
      <c r="E100" s="293" t="str">
        <f t="array" ref="E100">IFERROR(INDEX(#REF!,MATCH(A95&amp;B95,'計測入力シート（ここのみ編集可）'!$BO$17:$BO$116,0)),"")</f>
        <v/>
      </c>
      <c r="F100" s="95"/>
      <c r="G100" s="95"/>
      <c r="H100" s="96"/>
    </row>
    <row r="101" ht="20.25" customHeight="1">
      <c r="D101" s="294" t="s">
        <v>39</v>
      </c>
      <c r="E101" s="295" t="str">
        <f t="array" ref="E101">IFERROR(INDEX('計測入力シート（ここのみ編集可）'!$AW$17:$AW$116,MATCH(A95&amp;B95,'計測入力シート（ここのみ編集可）'!$BO$17:$BO$116,0)),"")</f>
        <v/>
      </c>
      <c r="F101" s="296"/>
      <c r="G101" s="297" t="s">
        <v>110</v>
      </c>
      <c r="H101" s="298" t="str">
        <f t="array" ref="H101">IFERROR(INDEX('計測入力シート（ここのみ編集可）'!$AY$17:$AY$116,MATCH(A95&amp;B95,'計測入力シート（ここのみ編集可）'!$BO$17:$BO$116,0)),"")</f>
        <v/>
      </c>
    </row>
    <row r="102" ht="20.25" customHeight="1">
      <c r="D102" s="299" t="s">
        <v>42</v>
      </c>
      <c r="E102" s="300" t="str">
        <f t="array" ref="E102">IFERROR(INDEX('計測入力シート（ここのみ編集可）'!$AZ$17:$AZ$116,MATCH(A95&amp;B95,'計測入力シート（ここのみ編集可）'!$BO$17:$BO$116,0)),"")</f>
        <v/>
      </c>
      <c r="F102" s="116"/>
      <c r="G102" s="301" t="s">
        <v>111</v>
      </c>
      <c r="H102" s="302" t="str">
        <f t="array" ref="H102">IFERROR(INDEX('計測入力シート（ここのみ編集可）'!$BB$17:$BB$116,MATCH(A95&amp;B95,'計測入力シート（ここのみ編集可）'!$BO$17:$BO$116,0)),"")</f>
        <v/>
      </c>
    </row>
    <row r="103" ht="20.25" customHeight="1">
      <c r="D103" s="303" t="s">
        <v>112</v>
      </c>
      <c r="E103" s="304" t="str">
        <f t="array" ref="E103">IFERROR(INDEX('計測入力シート（ここのみ編集可）'!$BC$17:$BC$116,MATCH(A95&amp;B95,'計測入力シート（ここのみ編集可）'!$BO$17:$BO$116,0)),"")</f>
        <v/>
      </c>
      <c r="F103" s="305"/>
      <c r="G103" s="306" t="s">
        <v>25</v>
      </c>
      <c r="H103" s="307" t="str">
        <f t="array" ref="H103">IFERROR(INDEX('計測入力シート（ここのみ編集可）'!$BD$17:$BD$116,MATCH(A95&amp;B95,'計測入力シート（ここのみ編集可）'!$BO$17:$BO$116,0)),"")</f>
        <v/>
      </c>
    </row>
    <row r="104" ht="20.25" customHeight="1">
      <c r="D104" s="308"/>
    </row>
    <row r="105" ht="27.0" customHeight="1">
      <c r="A105" s="52" t="str">
        <f>A95</f>
        <v>B</v>
      </c>
      <c r="B105" s="52">
        <f>B95+1</f>
        <v>11</v>
      </c>
      <c r="D105" s="271" t="s">
        <v>80</v>
      </c>
      <c r="E105" s="272" t="s">
        <v>81</v>
      </c>
      <c r="F105" s="272" t="s">
        <v>82</v>
      </c>
      <c r="G105" s="273" t="s">
        <v>49</v>
      </c>
      <c r="H105" s="274"/>
    </row>
    <row r="106" ht="27.0" customHeight="1">
      <c r="A106" s="86"/>
      <c r="B106" s="86"/>
      <c r="D106" s="275" t="str">
        <f t="array" ref="D106">IFERROR(INDEX('計測入力シート（ここのみ編集可）'!$BN$17:$BN$116,MATCH(A105&amp;B105,'計測入力シート（ここのみ編集可）'!$BO$17:$BO$116,0)),"")</f>
        <v/>
      </c>
      <c r="E106" s="276" t="str">
        <f t="array" ref="E106">IFERROR(INDEX('計測入力シート（ここのみ編集可）'!$BP$17:$BP$116,MATCH(A105&amp;B105,'計測入力シート（ここのみ編集可）'!$BO$17:$BO$116,0)),"")</f>
        <v/>
      </c>
      <c r="F106" s="277" t="str">
        <f t="array" ref="F106">IFERROR(INDEX('計測入力シート（ここのみ編集可）'!$BR$17:$BR$116,MATCH(A105&amp;B105,'計測入力シート（ここのみ編集可）'!$BO$17:$BO$116,0)),"")</f>
        <v/>
      </c>
      <c r="G106" s="278" t="str">
        <f t="array" ref="G106">IFERROR(INDEX('計測入力シート（ここのみ編集可）'!$BL$17:$BL$116,MATCH(A105&amp;B105,'計測入力シート（ここのみ編集可）'!$BO$17:$BO$116,0)),"")</f>
        <v/>
      </c>
      <c r="H106" s="279"/>
    </row>
    <row r="107" ht="27.0" customHeight="1">
      <c r="D107" s="280" t="s">
        <v>2</v>
      </c>
      <c r="E107" s="281" t="str">
        <f t="array" ref="E107">IFERROR(INDEX('計測入力シート（ここのみ編集可）'!$C$17:$C$116,MATCH(A105&amp;B105,'計測入力シート（ここのみ編集可）'!$BO$17:$BO$116,0)),"")</f>
        <v/>
      </c>
      <c r="F107" s="282" t="s">
        <v>17</v>
      </c>
      <c r="G107" s="283" t="str">
        <f t="array" ref="G107">IFERROR(INDEX('計測入力シート（ここのみ編集可）'!$D$17:$D$116,MATCH(A105&amp;B105,'計測入力シート（ここのみ編集可）'!$BO$17:$BO$116,0)),"")</f>
        <v/>
      </c>
      <c r="H107" s="284"/>
    </row>
    <row r="108" ht="27.0" customHeight="1">
      <c r="D108" s="285" t="s">
        <v>1</v>
      </c>
      <c r="E108" s="286" t="str">
        <f t="array" ref="E108">IFERROR(INDEX('計測入力シート（ここのみ編集可）'!$B$17:$B$116,MATCH(A105&amp;B105,'計測入力シート（ここのみ編集可）'!$BO$17:$BO$116,0)),"")</f>
        <v/>
      </c>
      <c r="F108" s="287" t="s">
        <v>18</v>
      </c>
      <c r="G108" s="288" t="str">
        <f t="array" ref="G108">IFERROR(INDEX('計測入力シート（ここのみ編集可）'!$E$17:$E$116,MATCH(A105&amp;B105,'計測入力シート（ここのみ編集可）'!$BO$17:$BO$116,0)),"")</f>
        <v/>
      </c>
      <c r="H108" s="289"/>
    </row>
    <row r="109" ht="24.75" customHeight="1">
      <c r="D109" s="290" t="s">
        <v>92</v>
      </c>
      <c r="E109" s="291" t="str">
        <f t="array" ref="E109">IFERROR(INDEX(#REF!,MATCH(A105&amp;B105,'計測入力シート（ここのみ編集可）'!$BO$17:$BO$116,0)),"")</f>
        <v/>
      </c>
      <c r="H109" s="232"/>
    </row>
    <row r="110" ht="52.5" customHeight="1">
      <c r="D110" s="292" t="s">
        <v>100</v>
      </c>
      <c r="E110" s="293" t="str">
        <f t="array" ref="E110">IFERROR(INDEX(#REF!,MATCH(A105&amp;B105,'計測入力シート（ここのみ編集可）'!$BO$17:$BO$116,0)),"")</f>
        <v/>
      </c>
      <c r="F110" s="95"/>
      <c r="G110" s="95"/>
      <c r="H110" s="96"/>
    </row>
    <row r="111" ht="20.25" customHeight="1">
      <c r="D111" s="294" t="s">
        <v>39</v>
      </c>
      <c r="E111" s="295" t="str">
        <f t="array" ref="E111">IFERROR(INDEX('計測入力シート（ここのみ編集可）'!$AW$17:$AW$116,MATCH(A105&amp;B105,'計測入力シート（ここのみ編集可）'!$BO$17:$BO$116,0)),"")</f>
        <v/>
      </c>
      <c r="F111" s="296"/>
      <c r="G111" s="297" t="s">
        <v>110</v>
      </c>
      <c r="H111" s="298" t="str">
        <f t="array" ref="H111">IFERROR(INDEX('計測入力シート（ここのみ編集可）'!$AY$17:$AY$116,MATCH(A105&amp;B105,'計測入力シート（ここのみ編集可）'!$BO$17:$BO$116,0)),"")</f>
        <v/>
      </c>
    </row>
    <row r="112" ht="20.25" customHeight="1">
      <c r="D112" s="299" t="s">
        <v>42</v>
      </c>
      <c r="E112" s="300" t="str">
        <f t="array" ref="E112">IFERROR(INDEX('計測入力シート（ここのみ編集可）'!$AZ$17:$AZ$116,MATCH(A105&amp;B105,'計測入力シート（ここのみ編集可）'!$BO$17:$BO$116,0)),"")</f>
        <v/>
      </c>
      <c r="F112" s="116"/>
      <c r="G112" s="301" t="s">
        <v>111</v>
      </c>
      <c r="H112" s="302" t="str">
        <f t="array" ref="H112">IFERROR(INDEX('計測入力シート（ここのみ編集可）'!$BB$17:$BB$116,MATCH(A105&amp;B105,'計測入力シート（ここのみ編集可）'!$BO$17:$BO$116,0)),"")</f>
        <v/>
      </c>
    </row>
    <row r="113" ht="20.25" customHeight="1">
      <c r="D113" s="303" t="s">
        <v>112</v>
      </c>
      <c r="E113" s="304" t="str">
        <f t="array" ref="E113">IFERROR(INDEX('計測入力シート（ここのみ編集可）'!$BC$17:$BC$116,MATCH(A105&amp;B105,'計測入力シート（ここのみ編集可）'!$BO$17:$BO$116,0)),"")</f>
        <v/>
      </c>
      <c r="F113" s="305"/>
      <c r="G113" s="306" t="s">
        <v>25</v>
      </c>
      <c r="H113" s="307" t="str">
        <f t="array" ref="H113">IFERROR(INDEX('計測入力シート（ここのみ編集可）'!$BD$17:$BD$116,MATCH(A105&amp;B105,'計測入力シート（ここのみ編集可）'!$BO$17:$BO$116,0)),"")</f>
        <v/>
      </c>
    </row>
    <row r="114" ht="20.25" customHeight="1">
      <c r="D114" s="308"/>
    </row>
    <row r="115" ht="27.0" customHeight="1">
      <c r="A115" s="52" t="str">
        <f>A105</f>
        <v>B</v>
      </c>
      <c r="B115" s="52">
        <f>B105+1</f>
        <v>12</v>
      </c>
      <c r="D115" s="271" t="s">
        <v>80</v>
      </c>
      <c r="E115" s="272" t="s">
        <v>81</v>
      </c>
      <c r="F115" s="272" t="s">
        <v>82</v>
      </c>
      <c r="G115" s="273" t="s">
        <v>49</v>
      </c>
      <c r="H115" s="274"/>
    </row>
    <row r="116" ht="27.0" customHeight="1">
      <c r="A116" s="86"/>
      <c r="B116" s="86"/>
      <c r="D116" s="275" t="str">
        <f t="array" ref="D116">IFERROR(INDEX('計測入力シート（ここのみ編集可）'!$BN$17:$BN$116,MATCH(A115&amp;B115,'計測入力シート（ここのみ編集可）'!$BO$17:$BO$116,0)),"")</f>
        <v/>
      </c>
      <c r="E116" s="276" t="str">
        <f t="array" ref="E116">IFERROR(INDEX('計測入力シート（ここのみ編集可）'!$BP$17:$BP$116,MATCH(A115&amp;B115,'計測入力シート（ここのみ編集可）'!$BO$17:$BO$116,0)),"")</f>
        <v/>
      </c>
      <c r="F116" s="277" t="str">
        <f t="array" ref="F116">IFERROR(INDEX('計測入力シート（ここのみ編集可）'!$BR$17:$BR$116,MATCH(A115&amp;B115,'計測入力シート（ここのみ編集可）'!$BO$17:$BO$116,0)),"")</f>
        <v/>
      </c>
      <c r="G116" s="278" t="str">
        <f t="array" ref="G116">IFERROR(INDEX('計測入力シート（ここのみ編集可）'!$BL$17:$BL$116,MATCH(A115&amp;B115,'計測入力シート（ここのみ編集可）'!$BO$17:$BO$116,0)),"")</f>
        <v/>
      </c>
      <c r="H116" s="279"/>
    </row>
    <row r="117" ht="27.0" customHeight="1">
      <c r="D117" s="280" t="s">
        <v>2</v>
      </c>
      <c r="E117" s="281" t="str">
        <f t="array" ref="E117">IFERROR(INDEX('計測入力シート（ここのみ編集可）'!$C$17:$C$116,MATCH(A115&amp;B115,'計測入力シート（ここのみ編集可）'!$BO$17:$BO$116,0)),"")</f>
        <v/>
      </c>
      <c r="F117" s="282" t="s">
        <v>17</v>
      </c>
      <c r="G117" s="283" t="str">
        <f t="array" ref="G117">IFERROR(INDEX('計測入力シート（ここのみ編集可）'!$D$17:$D$116,MATCH(A115&amp;B115,'計測入力シート（ここのみ編集可）'!$BO$17:$BO$116,0)),"")</f>
        <v/>
      </c>
      <c r="H117" s="284"/>
    </row>
    <row r="118" ht="27.0" customHeight="1">
      <c r="D118" s="285" t="s">
        <v>1</v>
      </c>
      <c r="E118" s="286" t="str">
        <f t="array" ref="E118">IFERROR(INDEX('計測入力シート（ここのみ編集可）'!$B$17:$B$116,MATCH(A115&amp;B115,'計測入力シート（ここのみ編集可）'!$BO$17:$BO$116,0)),"")</f>
        <v/>
      </c>
      <c r="F118" s="287" t="s">
        <v>18</v>
      </c>
      <c r="G118" s="288" t="str">
        <f t="array" ref="G118">IFERROR(INDEX('計測入力シート（ここのみ編集可）'!$E$17:$E$116,MATCH(A115&amp;B115,'計測入力シート（ここのみ編集可）'!$BO$17:$BO$116,0)),"")</f>
        <v/>
      </c>
      <c r="H118" s="289"/>
    </row>
    <row r="119" ht="24.75" customHeight="1">
      <c r="D119" s="290" t="s">
        <v>92</v>
      </c>
      <c r="E119" s="291" t="str">
        <f t="array" ref="E119">IFERROR(INDEX(#REF!,MATCH(A115&amp;B115,'計測入力シート（ここのみ編集可）'!$BO$17:$BO$116,0)),"")</f>
        <v/>
      </c>
      <c r="H119" s="232"/>
    </row>
    <row r="120" ht="52.5" customHeight="1">
      <c r="D120" s="292" t="s">
        <v>100</v>
      </c>
      <c r="E120" s="293" t="str">
        <f t="array" ref="E120">IFERROR(INDEX(#REF!,MATCH(A115&amp;B115,'計測入力シート（ここのみ編集可）'!$BO$17:$BO$116,0)),"")</f>
        <v/>
      </c>
      <c r="F120" s="95"/>
      <c r="G120" s="95"/>
      <c r="H120" s="96"/>
    </row>
    <row r="121" ht="20.25" customHeight="1">
      <c r="D121" s="294" t="s">
        <v>39</v>
      </c>
      <c r="E121" s="295" t="str">
        <f t="array" ref="E121">IFERROR(INDEX('計測入力シート（ここのみ編集可）'!$AW$17:$AW$116,MATCH(A115&amp;B115,'計測入力シート（ここのみ編集可）'!$BO$17:$BO$116,0)),"")</f>
        <v/>
      </c>
      <c r="F121" s="296"/>
      <c r="G121" s="297" t="s">
        <v>110</v>
      </c>
      <c r="H121" s="298" t="str">
        <f t="array" ref="H121">IFERROR(INDEX('計測入力シート（ここのみ編集可）'!$AY$17:$AY$116,MATCH(A115&amp;B115,'計測入力シート（ここのみ編集可）'!$BO$17:$BO$116,0)),"")</f>
        <v/>
      </c>
    </row>
    <row r="122" ht="20.25" customHeight="1">
      <c r="D122" s="299" t="s">
        <v>42</v>
      </c>
      <c r="E122" s="300" t="str">
        <f t="array" ref="E122">IFERROR(INDEX('計測入力シート（ここのみ編集可）'!$AZ$17:$AZ$116,MATCH(A115&amp;B115,'計測入力シート（ここのみ編集可）'!$BO$17:$BO$116,0)),"")</f>
        <v/>
      </c>
      <c r="F122" s="116"/>
      <c r="G122" s="301" t="s">
        <v>111</v>
      </c>
      <c r="H122" s="302" t="str">
        <f t="array" ref="H122">IFERROR(INDEX('計測入力シート（ここのみ編集可）'!$BB$17:$BB$116,MATCH(A115&amp;B115,'計測入力シート（ここのみ編集可）'!$BO$17:$BO$116,0)),"")</f>
        <v/>
      </c>
    </row>
    <row r="123" ht="20.25" customHeight="1">
      <c r="D123" s="303" t="s">
        <v>112</v>
      </c>
      <c r="E123" s="304" t="str">
        <f t="array" ref="E123">IFERROR(INDEX('計測入力シート（ここのみ編集可）'!$BC$17:$BC$116,MATCH(A115&amp;B115,'計測入力シート（ここのみ編集可）'!$BO$17:$BO$116,0)),"")</f>
        <v/>
      </c>
      <c r="F123" s="305"/>
      <c r="G123" s="306" t="s">
        <v>25</v>
      </c>
      <c r="H123" s="307" t="str">
        <f t="array" ref="H123">IFERROR(INDEX('計測入力シート（ここのみ編集可）'!$BD$17:$BD$116,MATCH(A115&amp;B115,'計測入力シート（ここのみ編集可）'!$BO$17:$BO$116,0)),"")</f>
        <v/>
      </c>
    </row>
    <row r="124" ht="20.25" customHeight="1">
      <c r="D124" s="308"/>
    </row>
    <row r="125" ht="27.0" customHeight="1">
      <c r="A125" s="52" t="str">
        <f>A115</f>
        <v>B</v>
      </c>
      <c r="B125" s="52">
        <f>B115+1</f>
        <v>13</v>
      </c>
      <c r="D125" s="271" t="s">
        <v>80</v>
      </c>
      <c r="E125" s="272" t="s">
        <v>81</v>
      </c>
      <c r="F125" s="272" t="s">
        <v>82</v>
      </c>
      <c r="G125" s="273" t="s">
        <v>49</v>
      </c>
      <c r="H125" s="274"/>
    </row>
    <row r="126" ht="27.0" customHeight="1">
      <c r="A126" s="86"/>
      <c r="B126" s="86"/>
      <c r="D126" s="275" t="str">
        <f t="array" ref="D126">IFERROR(INDEX('計測入力シート（ここのみ編集可）'!$BN$17:$BN$116,MATCH(A125&amp;B125,'計測入力シート（ここのみ編集可）'!$BO$17:$BO$116,0)),"")</f>
        <v/>
      </c>
      <c r="E126" s="276" t="str">
        <f t="array" ref="E126">IFERROR(INDEX('計測入力シート（ここのみ編集可）'!$BP$17:$BP$116,MATCH(A125&amp;B125,'計測入力シート（ここのみ編集可）'!$BO$17:$BO$116,0)),"")</f>
        <v/>
      </c>
      <c r="F126" s="277" t="str">
        <f t="array" ref="F126">IFERROR(INDEX('計測入力シート（ここのみ編集可）'!$BR$17:$BR$116,MATCH(A125&amp;B125,'計測入力シート（ここのみ編集可）'!$BO$17:$BO$116,0)),"")</f>
        <v/>
      </c>
      <c r="G126" s="278" t="str">
        <f t="array" ref="G126">IFERROR(INDEX('計測入力シート（ここのみ編集可）'!$BL$17:$BL$116,MATCH(A125&amp;B125,'計測入力シート（ここのみ編集可）'!$BO$17:$BO$116,0)),"")</f>
        <v/>
      </c>
      <c r="H126" s="279"/>
    </row>
    <row r="127" ht="27.0" customHeight="1">
      <c r="D127" s="280" t="s">
        <v>2</v>
      </c>
      <c r="E127" s="281" t="str">
        <f t="array" ref="E127">IFERROR(INDEX('計測入力シート（ここのみ編集可）'!$C$17:$C$116,MATCH(A125&amp;B125,'計測入力シート（ここのみ編集可）'!$BO$17:$BO$116,0)),"")</f>
        <v/>
      </c>
      <c r="F127" s="282" t="s">
        <v>17</v>
      </c>
      <c r="G127" s="283" t="str">
        <f t="array" ref="G127">IFERROR(INDEX('計測入力シート（ここのみ編集可）'!$D$17:$D$116,MATCH(A125&amp;B125,'計測入力シート（ここのみ編集可）'!$BO$17:$BO$116,0)),"")</f>
        <v/>
      </c>
      <c r="H127" s="284"/>
    </row>
    <row r="128" ht="27.0" customHeight="1">
      <c r="D128" s="285" t="s">
        <v>1</v>
      </c>
      <c r="E128" s="286" t="str">
        <f t="array" ref="E128">IFERROR(INDEX('計測入力シート（ここのみ編集可）'!$B$17:$B$116,MATCH(A125&amp;B125,'計測入力シート（ここのみ編集可）'!$BO$17:$BO$116,0)),"")</f>
        <v/>
      </c>
      <c r="F128" s="287" t="s">
        <v>18</v>
      </c>
      <c r="G128" s="288" t="str">
        <f t="array" ref="G128">IFERROR(INDEX('計測入力シート（ここのみ編集可）'!$E$17:$E$116,MATCH(A125&amp;B125,'計測入力シート（ここのみ編集可）'!$BO$17:$BO$116,0)),"")</f>
        <v/>
      </c>
      <c r="H128" s="289"/>
    </row>
    <row r="129" ht="24.75" customHeight="1">
      <c r="D129" s="290" t="s">
        <v>92</v>
      </c>
      <c r="E129" s="291" t="str">
        <f t="array" ref="E129">IFERROR(INDEX(#REF!,MATCH(A125&amp;B125,'計測入力シート（ここのみ編集可）'!$BO$17:$BO$116,0)),"")</f>
        <v/>
      </c>
      <c r="H129" s="232"/>
    </row>
    <row r="130" ht="52.5" customHeight="1">
      <c r="D130" s="292" t="s">
        <v>100</v>
      </c>
      <c r="E130" s="293" t="str">
        <f t="array" ref="E130">IFERROR(INDEX(#REF!,MATCH(A125&amp;B125,'計測入力シート（ここのみ編集可）'!$BO$17:$BO$116,0)),"")</f>
        <v/>
      </c>
      <c r="F130" s="95"/>
      <c r="G130" s="95"/>
      <c r="H130" s="96"/>
    </row>
    <row r="131" ht="20.25" customHeight="1">
      <c r="D131" s="294" t="s">
        <v>39</v>
      </c>
      <c r="E131" s="295" t="str">
        <f t="array" ref="E131">IFERROR(INDEX('計測入力シート（ここのみ編集可）'!$AW$17:$AW$116,MATCH(A125&amp;B125,'計測入力シート（ここのみ編集可）'!$BO$17:$BO$116,0)),"")</f>
        <v/>
      </c>
      <c r="F131" s="296"/>
      <c r="G131" s="297" t="s">
        <v>110</v>
      </c>
      <c r="H131" s="298" t="str">
        <f t="array" ref="H131">IFERROR(INDEX('計測入力シート（ここのみ編集可）'!$AY$17:$AY$116,MATCH(A125&amp;B125,'計測入力シート（ここのみ編集可）'!$BO$17:$BO$116,0)),"")</f>
        <v/>
      </c>
    </row>
    <row r="132" ht="20.25" customHeight="1">
      <c r="D132" s="299" t="s">
        <v>42</v>
      </c>
      <c r="E132" s="300" t="str">
        <f t="array" ref="E132">IFERROR(INDEX('計測入力シート（ここのみ編集可）'!$AZ$17:$AZ$116,MATCH(A125&amp;B125,'計測入力シート（ここのみ編集可）'!$BO$17:$BO$116,0)),"")</f>
        <v/>
      </c>
      <c r="F132" s="116"/>
      <c r="G132" s="301" t="s">
        <v>111</v>
      </c>
      <c r="H132" s="302" t="str">
        <f t="array" ref="H132">IFERROR(INDEX('計測入力シート（ここのみ編集可）'!$BB$17:$BB$116,MATCH(A125&amp;B125,'計測入力シート（ここのみ編集可）'!$BO$17:$BO$116,0)),"")</f>
        <v/>
      </c>
    </row>
    <row r="133" ht="20.25" customHeight="1">
      <c r="D133" s="303" t="s">
        <v>112</v>
      </c>
      <c r="E133" s="304" t="str">
        <f t="array" ref="E133">IFERROR(INDEX('計測入力シート（ここのみ編集可）'!$BC$17:$BC$116,MATCH(A125&amp;B125,'計測入力シート（ここのみ編集可）'!$BO$17:$BO$116,0)),"")</f>
        <v/>
      </c>
      <c r="F133" s="305"/>
      <c r="G133" s="306" t="s">
        <v>25</v>
      </c>
      <c r="H133" s="307" t="str">
        <f t="array" ref="H133">IFERROR(INDEX('計測入力シート（ここのみ編集可）'!$BD$17:$BD$116,MATCH(A125&amp;B125,'計測入力シート（ここのみ編集可）'!$BO$17:$BO$116,0)),"")</f>
        <v/>
      </c>
    </row>
    <row r="134" ht="20.25" customHeight="1">
      <c r="D134" s="308"/>
    </row>
    <row r="135" ht="27.0" customHeight="1">
      <c r="A135" s="52" t="str">
        <f>A125</f>
        <v>B</v>
      </c>
      <c r="B135" s="52">
        <f>B125+1</f>
        <v>14</v>
      </c>
      <c r="D135" s="271" t="s">
        <v>80</v>
      </c>
      <c r="E135" s="272" t="s">
        <v>81</v>
      </c>
      <c r="F135" s="272" t="s">
        <v>82</v>
      </c>
      <c r="G135" s="273" t="s">
        <v>49</v>
      </c>
      <c r="H135" s="274"/>
    </row>
    <row r="136" ht="27.0" customHeight="1">
      <c r="A136" s="86"/>
      <c r="B136" s="86"/>
      <c r="D136" s="275" t="str">
        <f t="array" ref="D136">IFERROR(INDEX('計測入力シート（ここのみ編集可）'!$BN$17:$BN$116,MATCH(A135&amp;B135,'計測入力シート（ここのみ編集可）'!$BO$17:$BO$116,0)),"")</f>
        <v/>
      </c>
      <c r="E136" s="276" t="str">
        <f t="array" ref="E136">IFERROR(INDEX('計測入力シート（ここのみ編集可）'!$BP$17:$BP$116,MATCH(A135&amp;B135,'計測入力シート（ここのみ編集可）'!$BO$17:$BO$116,0)),"")</f>
        <v/>
      </c>
      <c r="F136" s="277" t="str">
        <f t="array" ref="F136">IFERROR(INDEX('計測入力シート（ここのみ編集可）'!$BR$17:$BR$116,MATCH(A135&amp;B135,'計測入力シート（ここのみ編集可）'!$BO$17:$BO$116,0)),"")</f>
        <v/>
      </c>
      <c r="G136" s="278" t="str">
        <f t="array" ref="G136">IFERROR(INDEX('計測入力シート（ここのみ編集可）'!$BL$17:$BL$116,MATCH(A135&amp;B135,'計測入力シート（ここのみ編集可）'!$BO$17:$BO$116,0)),"")</f>
        <v/>
      </c>
      <c r="H136" s="279"/>
    </row>
    <row r="137" ht="27.0" customHeight="1">
      <c r="D137" s="280" t="s">
        <v>2</v>
      </c>
      <c r="E137" s="281" t="str">
        <f t="array" ref="E137">IFERROR(INDEX('計測入力シート（ここのみ編集可）'!$C$17:$C$116,MATCH(A135&amp;B135,'計測入力シート（ここのみ編集可）'!$BO$17:$BO$116,0)),"")</f>
        <v/>
      </c>
      <c r="F137" s="282" t="s">
        <v>17</v>
      </c>
      <c r="G137" s="283" t="str">
        <f t="array" ref="G137">IFERROR(INDEX('計測入力シート（ここのみ編集可）'!$D$17:$D$116,MATCH(A135&amp;B135,'計測入力シート（ここのみ編集可）'!$BO$17:$BO$116,0)),"")</f>
        <v/>
      </c>
      <c r="H137" s="284"/>
    </row>
    <row r="138" ht="27.0" customHeight="1">
      <c r="D138" s="285" t="s">
        <v>1</v>
      </c>
      <c r="E138" s="286" t="str">
        <f t="array" ref="E138">IFERROR(INDEX('計測入力シート（ここのみ編集可）'!$B$17:$B$116,MATCH(A135&amp;B135,'計測入力シート（ここのみ編集可）'!$BO$17:$BO$116,0)),"")</f>
        <v/>
      </c>
      <c r="F138" s="287" t="s">
        <v>18</v>
      </c>
      <c r="G138" s="288" t="str">
        <f t="array" ref="G138">IFERROR(INDEX('計測入力シート（ここのみ編集可）'!$E$17:$E$116,MATCH(A135&amp;B135,'計測入力シート（ここのみ編集可）'!$BO$17:$BO$116,0)),"")</f>
        <v/>
      </c>
      <c r="H138" s="289"/>
    </row>
    <row r="139" ht="24.75" customHeight="1">
      <c r="D139" s="290" t="s">
        <v>92</v>
      </c>
      <c r="E139" s="291" t="str">
        <f t="array" ref="E139">IFERROR(INDEX(#REF!,MATCH(A135&amp;B135,'計測入力シート（ここのみ編集可）'!$BO$17:$BO$116,0)),"")</f>
        <v/>
      </c>
      <c r="H139" s="232"/>
    </row>
    <row r="140" ht="52.5" customHeight="1">
      <c r="D140" s="292" t="s">
        <v>100</v>
      </c>
      <c r="E140" s="293" t="str">
        <f t="array" ref="E140">IFERROR(INDEX(#REF!,MATCH(A135&amp;B135,'計測入力シート（ここのみ編集可）'!$BO$17:$BO$116,0)),"")</f>
        <v/>
      </c>
      <c r="F140" s="95"/>
      <c r="G140" s="95"/>
      <c r="H140" s="96"/>
    </row>
    <row r="141" ht="20.25" customHeight="1">
      <c r="D141" s="294" t="s">
        <v>39</v>
      </c>
      <c r="E141" s="295" t="str">
        <f t="array" ref="E141">IFERROR(INDEX('計測入力シート（ここのみ編集可）'!$AW$17:$AW$116,MATCH(A135&amp;B135,'計測入力シート（ここのみ編集可）'!$BO$17:$BO$116,0)),"")</f>
        <v/>
      </c>
      <c r="F141" s="296"/>
      <c r="G141" s="297" t="s">
        <v>110</v>
      </c>
      <c r="H141" s="298" t="str">
        <f t="array" ref="H141">IFERROR(INDEX('計測入力シート（ここのみ編集可）'!$AY$17:$AY$116,MATCH(A135&amp;B135,'計測入力シート（ここのみ編集可）'!$BO$17:$BO$116,0)),"")</f>
        <v/>
      </c>
    </row>
    <row r="142" ht="20.25" customHeight="1">
      <c r="D142" s="299" t="s">
        <v>42</v>
      </c>
      <c r="E142" s="300" t="str">
        <f t="array" ref="E142">IFERROR(INDEX('計測入力シート（ここのみ編集可）'!$AZ$17:$AZ$116,MATCH(A135&amp;B135,'計測入力シート（ここのみ編集可）'!$BO$17:$BO$116,0)),"")</f>
        <v/>
      </c>
      <c r="F142" s="116"/>
      <c r="G142" s="301" t="s">
        <v>111</v>
      </c>
      <c r="H142" s="302" t="str">
        <f t="array" ref="H142">IFERROR(INDEX('計測入力シート（ここのみ編集可）'!$BB$17:$BB$116,MATCH(A135&amp;B135,'計測入力シート（ここのみ編集可）'!$BO$17:$BO$116,0)),"")</f>
        <v/>
      </c>
    </row>
    <row r="143" ht="20.25" customHeight="1">
      <c r="D143" s="303" t="s">
        <v>112</v>
      </c>
      <c r="E143" s="304" t="str">
        <f t="array" ref="E143">IFERROR(INDEX('計測入力シート（ここのみ編集可）'!$BC$17:$BC$116,MATCH(A135&amp;B135,'計測入力シート（ここのみ編集可）'!$BO$17:$BO$116,0)),"")</f>
        <v/>
      </c>
      <c r="F143" s="305"/>
      <c r="G143" s="306" t="s">
        <v>25</v>
      </c>
      <c r="H143" s="307" t="str">
        <f t="array" ref="H143">IFERROR(INDEX('計測入力シート（ここのみ編集可）'!$BD$17:$BD$116,MATCH(A135&amp;B135,'計測入力シート（ここのみ編集可）'!$BO$17:$BO$116,0)),"")</f>
        <v/>
      </c>
    </row>
    <row r="144" ht="20.25" customHeight="1">
      <c r="D144" s="308"/>
    </row>
    <row r="145" ht="27.0" customHeight="1">
      <c r="A145" s="52" t="str">
        <f>A135</f>
        <v>B</v>
      </c>
      <c r="B145" s="52">
        <f>B135+1</f>
        <v>15</v>
      </c>
      <c r="D145" s="271" t="s">
        <v>80</v>
      </c>
      <c r="E145" s="272" t="s">
        <v>81</v>
      </c>
      <c r="F145" s="272" t="s">
        <v>82</v>
      </c>
      <c r="G145" s="273" t="s">
        <v>49</v>
      </c>
      <c r="H145" s="274"/>
    </row>
    <row r="146" ht="27.0" customHeight="1">
      <c r="A146" s="86"/>
      <c r="B146" s="86"/>
      <c r="D146" s="275" t="str">
        <f t="array" ref="D146">IFERROR(INDEX('計測入力シート（ここのみ編集可）'!$BN$17:$BN$116,MATCH(A145&amp;B145,'計測入力シート（ここのみ編集可）'!$BO$17:$BO$116,0)),"")</f>
        <v/>
      </c>
      <c r="E146" s="276" t="str">
        <f t="array" ref="E146">IFERROR(INDEX('計測入力シート（ここのみ編集可）'!$BP$17:$BP$116,MATCH(A145&amp;B145,'計測入力シート（ここのみ編集可）'!$BO$17:$BO$116,0)),"")</f>
        <v/>
      </c>
      <c r="F146" s="277" t="str">
        <f t="array" ref="F146">IFERROR(INDEX('計測入力シート（ここのみ編集可）'!$BR$17:$BR$116,MATCH(A145&amp;B145,'計測入力シート（ここのみ編集可）'!$BO$17:$BO$116,0)),"")</f>
        <v/>
      </c>
      <c r="G146" s="278" t="str">
        <f t="array" ref="G146">IFERROR(INDEX('計測入力シート（ここのみ編集可）'!$BL$17:$BL$116,MATCH(A145&amp;B145,'計測入力シート（ここのみ編集可）'!$BO$17:$BO$116,0)),"")</f>
        <v/>
      </c>
      <c r="H146" s="279"/>
    </row>
    <row r="147" ht="27.0" customHeight="1">
      <c r="D147" s="280" t="s">
        <v>2</v>
      </c>
      <c r="E147" s="281" t="str">
        <f t="array" ref="E147">IFERROR(INDEX('計測入力シート（ここのみ編集可）'!$C$17:$C$116,MATCH(A145&amp;B145,'計測入力シート（ここのみ編集可）'!$BO$17:$BO$116,0)),"")</f>
        <v/>
      </c>
      <c r="F147" s="282" t="s">
        <v>17</v>
      </c>
      <c r="G147" s="283" t="str">
        <f t="array" ref="G147">IFERROR(INDEX('計測入力シート（ここのみ編集可）'!$D$17:$D$116,MATCH(A145&amp;B145,'計測入力シート（ここのみ編集可）'!$BO$17:$BO$116,0)),"")</f>
        <v/>
      </c>
      <c r="H147" s="284"/>
    </row>
    <row r="148" ht="27.0" customHeight="1">
      <c r="D148" s="285" t="s">
        <v>1</v>
      </c>
      <c r="E148" s="286" t="str">
        <f t="array" ref="E148">IFERROR(INDEX('計測入力シート（ここのみ編集可）'!$B$17:$B$116,MATCH(A145&amp;B145,'計測入力シート（ここのみ編集可）'!$BO$17:$BO$116,0)),"")</f>
        <v/>
      </c>
      <c r="F148" s="287" t="s">
        <v>18</v>
      </c>
      <c r="G148" s="288" t="str">
        <f t="array" ref="G148">IFERROR(INDEX('計測入力シート（ここのみ編集可）'!$E$17:$E$116,MATCH(A145&amp;B145,'計測入力シート（ここのみ編集可）'!$BO$17:$BO$116,0)),"")</f>
        <v/>
      </c>
      <c r="H148" s="289"/>
    </row>
    <row r="149" ht="24.75" customHeight="1">
      <c r="D149" s="290" t="s">
        <v>92</v>
      </c>
      <c r="E149" s="291" t="str">
        <f t="array" ref="E149">IFERROR(INDEX(#REF!,MATCH(A145&amp;B145,'計測入力シート（ここのみ編集可）'!$BO$17:$BO$116,0)),"")</f>
        <v/>
      </c>
      <c r="H149" s="232"/>
    </row>
    <row r="150" ht="52.5" customHeight="1">
      <c r="D150" s="292" t="s">
        <v>100</v>
      </c>
      <c r="E150" s="293" t="str">
        <f t="array" ref="E150">IFERROR(INDEX(#REF!,MATCH(A145&amp;B145,'計測入力シート（ここのみ編集可）'!$BO$17:$BO$116,0)),"")</f>
        <v/>
      </c>
      <c r="F150" s="95"/>
      <c r="G150" s="95"/>
      <c r="H150" s="96"/>
    </row>
    <row r="151" ht="20.25" customHeight="1">
      <c r="D151" s="294" t="s">
        <v>39</v>
      </c>
      <c r="E151" s="295" t="str">
        <f t="array" ref="E151">IFERROR(INDEX('計測入力シート（ここのみ編集可）'!$AW$17:$AW$116,MATCH(A145&amp;B145,'計測入力シート（ここのみ編集可）'!$BO$17:$BO$116,0)),"")</f>
        <v/>
      </c>
      <c r="F151" s="296"/>
      <c r="G151" s="297" t="s">
        <v>110</v>
      </c>
      <c r="H151" s="298" t="str">
        <f t="array" ref="H151">IFERROR(INDEX('計測入力シート（ここのみ編集可）'!$AY$17:$AY$116,MATCH(A145&amp;B145,'計測入力シート（ここのみ編集可）'!$BO$17:$BO$116,0)),"")</f>
        <v/>
      </c>
    </row>
    <row r="152" ht="20.25" customHeight="1">
      <c r="D152" s="299" t="s">
        <v>42</v>
      </c>
      <c r="E152" s="300" t="str">
        <f t="array" ref="E152">IFERROR(INDEX('計測入力シート（ここのみ編集可）'!$AZ$17:$AZ$116,MATCH(A145&amp;B145,'計測入力シート（ここのみ編集可）'!$BO$17:$BO$116,0)),"")</f>
        <v/>
      </c>
      <c r="F152" s="116"/>
      <c r="G152" s="301" t="s">
        <v>111</v>
      </c>
      <c r="H152" s="302" t="str">
        <f t="array" ref="H152">IFERROR(INDEX('計測入力シート（ここのみ編集可）'!$BB$17:$BB$116,MATCH(A145&amp;B145,'計測入力シート（ここのみ編集可）'!$BO$17:$BO$116,0)),"")</f>
        <v/>
      </c>
    </row>
    <row r="153" ht="20.25" customHeight="1">
      <c r="D153" s="303" t="s">
        <v>112</v>
      </c>
      <c r="E153" s="304" t="str">
        <f t="array" ref="E153">IFERROR(INDEX('計測入力シート（ここのみ編集可）'!$BC$17:$BC$116,MATCH(A145&amp;B145,'計測入力シート（ここのみ編集可）'!$BO$17:$BO$116,0)),"")</f>
        <v/>
      </c>
      <c r="F153" s="305"/>
      <c r="G153" s="306" t="s">
        <v>25</v>
      </c>
      <c r="H153" s="307" t="str">
        <f t="array" ref="H153">IFERROR(INDEX('計測入力シート（ここのみ編集可）'!$BD$17:$BD$116,MATCH(A145&amp;B145,'計測入力シート（ここのみ編集可）'!$BO$17:$BO$116,0)),"")</f>
        <v/>
      </c>
    </row>
    <row r="154" ht="20.25" customHeight="1">
      <c r="D154" s="308"/>
    </row>
    <row r="155" ht="27.0" customHeight="1">
      <c r="A155" s="52" t="str">
        <f>A145</f>
        <v>B</v>
      </c>
      <c r="B155" s="52">
        <f>B145+1</f>
        <v>16</v>
      </c>
      <c r="D155" s="271" t="s">
        <v>80</v>
      </c>
      <c r="E155" s="272" t="s">
        <v>81</v>
      </c>
      <c r="F155" s="272" t="s">
        <v>82</v>
      </c>
      <c r="G155" s="273" t="s">
        <v>49</v>
      </c>
      <c r="H155" s="274"/>
    </row>
    <row r="156" ht="27.0" customHeight="1">
      <c r="A156" s="86"/>
      <c r="B156" s="86"/>
      <c r="D156" s="275" t="str">
        <f t="array" ref="D156">IFERROR(INDEX('計測入力シート（ここのみ編集可）'!$BN$17:$BN$116,MATCH(A155&amp;B155,'計測入力シート（ここのみ編集可）'!$BO$17:$BO$116,0)),"")</f>
        <v/>
      </c>
      <c r="E156" s="276" t="str">
        <f t="array" ref="E156">IFERROR(INDEX('計測入力シート（ここのみ編集可）'!$BP$17:$BP$116,MATCH(A155&amp;B155,'計測入力シート（ここのみ編集可）'!$BO$17:$BO$116,0)),"")</f>
        <v/>
      </c>
      <c r="F156" s="277" t="str">
        <f t="array" ref="F156">IFERROR(INDEX('計測入力シート（ここのみ編集可）'!$BR$17:$BR$116,MATCH(A155&amp;B155,'計測入力シート（ここのみ編集可）'!$BO$17:$BO$116,0)),"")</f>
        <v/>
      </c>
      <c r="G156" s="278" t="str">
        <f t="array" ref="G156">IFERROR(INDEX('計測入力シート（ここのみ編集可）'!$BL$17:$BL$116,MATCH(A155&amp;B155,'計測入力シート（ここのみ編集可）'!$BO$17:$BO$116,0)),"")</f>
        <v/>
      </c>
      <c r="H156" s="279"/>
    </row>
    <row r="157" ht="27.0" customHeight="1">
      <c r="D157" s="280" t="s">
        <v>2</v>
      </c>
      <c r="E157" s="281" t="str">
        <f t="array" ref="E157">IFERROR(INDEX('計測入力シート（ここのみ編集可）'!$C$17:$C$116,MATCH(A155&amp;B155,'計測入力シート（ここのみ編集可）'!$BO$17:$BO$116,0)),"")</f>
        <v/>
      </c>
      <c r="F157" s="282" t="s">
        <v>17</v>
      </c>
      <c r="G157" s="283" t="str">
        <f t="array" ref="G157">IFERROR(INDEX('計測入力シート（ここのみ編集可）'!$D$17:$D$116,MATCH(A155&amp;B155,'計測入力シート（ここのみ編集可）'!$BO$17:$BO$116,0)),"")</f>
        <v/>
      </c>
      <c r="H157" s="284"/>
    </row>
    <row r="158" ht="27.0" customHeight="1">
      <c r="D158" s="285" t="s">
        <v>1</v>
      </c>
      <c r="E158" s="286" t="str">
        <f t="array" ref="E158">IFERROR(INDEX('計測入力シート（ここのみ編集可）'!$B$17:$B$116,MATCH(A155&amp;B155,'計測入力シート（ここのみ編集可）'!$BO$17:$BO$116,0)),"")</f>
        <v/>
      </c>
      <c r="F158" s="287" t="s">
        <v>18</v>
      </c>
      <c r="G158" s="288" t="str">
        <f t="array" ref="G158">IFERROR(INDEX('計測入力シート（ここのみ編集可）'!$E$17:$E$116,MATCH(A155&amp;B155,'計測入力シート（ここのみ編集可）'!$BO$17:$BO$116,0)),"")</f>
        <v/>
      </c>
      <c r="H158" s="289"/>
    </row>
    <row r="159" ht="24.75" customHeight="1">
      <c r="D159" s="290" t="s">
        <v>92</v>
      </c>
      <c r="E159" s="291" t="str">
        <f t="array" ref="E159">IFERROR(INDEX(#REF!,MATCH(A155&amp;B155,'計測入力シート（ここのみ編集可）'!$BO$17:$BO$116,0)),"")</f>
        <v/>
      </c>
      <c r="H159" s="232"/>
    </row>
    <row r="160" ht="52.5" customHeight="1">
      <c r="D160" s="292" t="s">
        <v>100</v>
      </c>
      <c r="E160" s="293" t="str">
        <f t="array" ref="E160">IFERROR(INDEX(#REF!,MATCH(A155&amp;B155,'計測入力シート（ここのみ編集可）'!$BO$17:$BO$116,0)),"")</f>
        <v/>
      </c>
      <c r="F160" s="95"/>
      <c r="G160" s="95"/>
      <c r="H160" s="96"/>
    </row>
    <row r="161" ht="20.25" customHeight="1">
      <c r="D161" s="294" t="s">
        <v>39</v>
      </c>
      <c r="E161" s="295" t="str">
        <f t="array" ref="E161">IFERROR(INDEX('計測入力シート（ここのみ編集可）'!$AW$17:$AW$116,MATCH(A155&amp;B155,'計測入力シート（ここのみ編集可）'!$BO$17:$BO$116,0)),"")</f>
        <v/>
      </c>
      <c r="F161" s="296"/>
      <c r="G161" s="297" t="s">
        <v>110</v>
      </c>
      <c r="H161" s="298" t="str">
        <f t="array" ref="H161">IFERROR(INDEX('計測入力シート（ここのみ編集可）'!$AY$17:$AY$116,MATCH(A155&amp;B155,'計測入力シート（ここのみ編集可）'!$BO$17:$BO$116,0)),"")</f>
        <v/>
      </c>
    </row>
    <row r="162" ht="20.25" customHeight="1">
      <c r="D162" s="299" t="s">
        <v>42</v>
      </c>
      <c r="E162" s="300" t="str">
        <f t="array" ref="E162">IFERROR(INDEX('計測入力シート（ここのみ編集可）'!$AZ$17:$AZ$116,MATCH(A155&amp;B155,'計測入力シート（ここのみ編集可）'!$BO$17:$BO$116,0)),"")</f>
        <v/>
      </c>
      <c r="F162" s="116"/>
      <c r="G162" s="301" t="s">
        <v>111</v>
      </c>
      <c r="H162" s="302" t="str">
        <f t="array" ref="H162">IFERROR(INDEX('計測入力シート（ここのみ編集可）'!$BB$17:$BB$116,MATCH(A155&amp;B155,'計測入力シート（ここのみ編集可）'!$BO$17:$BO$116,0)),"")</f>
        <v/>
      </c>
    </row>
    <row r="163" ht="20.25" customHeight="1">
      <c r="D163" s="303" t="s">
        <v>112</v>
      </c>
      <c r="E163" s="304" t="str">
        <f t="array" ref="E163">IFERROR(INDEX('計測入力シート（ここのみ編集可）'!$BC$17:$BC$116,MATCH(A155&amp;B155,'計測入力シート（ここのみ編集可）'!$BO$17:$BO$116,0)),"")</f>
        <v/>
      </c>
      <c r="F163" s="305"/>
      <c r="G163" s="306" t="s">
        <v>25</v>
      </c>
      <c r="H163" s="307" t="str">
        <f t="array" ref="H163">IFERROR(INDEX('計測入力シート（ここのみ編集可）'!$BD$17:$BD$116,MATCH(A155&amp;B155,'計測入力シート（ここのみ編集可）'!$BO$17:$BO$116,0)),"")</f>
        <v/>
      </c>
    </row>
    <row r="164" ht="20.25" customHeight="1">
      <c r="D164" s="308"/>
    </row>
    <row r="165" ht="27.0" customHeight="1">
      <c r="A165" s="52" t="str">
        <f>A155</f>
        <v>B</v>
      </c>
      <c r="B165" s="52">
        <f>B155+1</f>
        <v>17</v>
      </c>
      <c r="D165" s="271" t="s">
        <v>80</v>
      </c>
      <c r="E165" s="272" t="s">
        <v>81</v>
      </c>
      <c r="F165" s="272" t="s">
        <v>82</v>
      </c>
      <c r="G165" s="273" t="s">
        <v>49</v>
      </c>
      <c r="H165" s="274"/>
    </row>
    <row r="166" ht="27.0" customHeight="1">
      <c r="A166" s="86"/>
      <c r="B166" s="86"/>
      <c r="D166" s="275" t="str">
        <f t="array" ref="D166">IFERROR(INDEX('計測入力シート（ここのみ編集可）'!$BN$17:$BN$116,MATCH(A165&amp;B165,'計測入力シート（ここのみ編集可）'!$BO$17:$BO$116,0)),"")</f>
        <v/>
      </c>
      <c r="E166" s="276" t="str">
        <f t="array" ref="E166">IFERROR(INDEX('計測入力シート（ここのみ編集可）'!$BP$17:$BP$116,MATCH(A165&amp;B165,'計測入力シート（ここのみ編集可）'!$BO$17:$BO$116,0)),"")</f>
        <v/>
      </c>
      <c r="F166" s="277" t="str">
        <f t="array" ref="F166">IFERROR(INDEX('計測入力シート（ここのみ編集可）'!$BR$17:$BR$116,MATCH(A165&amp;B165,'計測入力シート（ここのみ編集可）'!$BO$17:$BO$116,0)),"")</f>
        <v/>
      </c>
      <c r="G166" s="278" t="str">
        <f t="array" ref="G166">IFERROR(INDEX('計測入力シート（ここのみ編集可）'!$BL$17:$BL$116,MATCH(A165&amp;B165,'計測入力シート（ここのみ編集可）'!$BO$17:$BO$116,0)),"")</f>
        <v/>
      </c>
      <c r="H166" s="279"/>
    </row>
    <row r="167" ht="27.0" customHeight="1">
      <c r="D167" s="280" t="s">
        <v>2</v>
      </c>
      <c r="E167" s="281" t="str">
        <f t="array" ref="E167">IFERROR(INDEX('計測入力シート（ここのみ編集可）'!$C$17:$C$116,MATCH(A165&amp;B165,'計測入力シート（ここのみ編集可）'!$BO$17:$BO$116,0)),"")</f>
        <v/>
      </c>
      <c r="F167" s="282" t="s">
        <v>17</v>
      </c>
      <c r="G167" s="283" t="str">
        <f t="array" ref="G167">IFERROR(INDEX('計測入力シート（ここのみ編集可）'!$D$17:$D$116,MATCH(A165&amp;B165,'計測入力シート（ここのみ編集可）'!$BO$17:$BO$116,0)),"")</f>
        <v/>
      </c>
      <c r="H167" s="284"/>
    </row>
    <row r="168" ht="27.0" customHeight="1">
      <c r="D168" s="285" t="s">
        <v>1</v>
      </c>
      <c r="E168" s="286" t="str">
        <f t="array" ref="E168">IFERROR(INDEX('計測入力シート（ここのみ編集可）'!$B$17:$B$116,MATCH(A165&amp;B165,'計測入力シート（ここのみ編集可）'!$BO$17:$BO$116,0)),"")</f>
        <v/>
      </c>
      <c r="F168" s="287" t="s">
        <v>18</v>
      </c>
      <c r="G168" s="288" t="str">
        <f t="array" ref="G168">IFERROR(INDEX('計測入力シート（ここのみ編集可）'!$E$17:$E$116,MATCH(A165&amp;B165,'計測入力シート（ここのみ編集可）'!$BO$17:$BO$116,0)),"")</f>
        <v/>
      </c>
      <c r="H168" s="289"/>
    </row>
    <row r="169" ht="24.75" customHeight="1">
      <c r="D169" s="290" t="s">
        <v>92</v>
      </c>
      <c r="E169" s="291" t="str">
        <f t="array" ref="E169">IFERROR(INDEX(#REF!,MATCH(A165&amp;B165,'計測入力シート（ここのみ編集可）'!$BO$17:$BO$116,0)),"")</f>
        <v/>
      </c>
      <c r="H169" s="232"/>
    </row>
    <row r="170" ht="52.5" customHeight="1">
      <c r="D170" s="292" t="s">
        <v>100</v>
      </c>
      <c r="E170" s="293" t="str">
        <f t="array" ref="E170">IFERROR(INDEX(#REF!,MATCH(A165&amp;B165,'計測入力シート（ここのみ編集可）'!$BO$17:$BO$116,0)),"")</f>
        <v/>
      </c>
      <c r="F170" s="95"/>
      <c r="G170" s="95"/>
      <c r="H170" s="96"/>
    </row>
    <row r="171" ht="20.25" customHeight="1">
      <c r="D171" s="294" t="s">
        <v>39</v>
      </c>
      <c r="E171" s="295" t="str">
        <f t="array" ref="E171">IFERROR(INDEX('計測入力シート（ここのみ編集可）'!$AW$17:$AW$116,MATCH(A165&amp;B165,'計測入力シート（ここのみ編集可）'!$BO$17:$BO$116,0)),"")</f>
        <v/>
      </c>
      <c r="F171" s="296"/>
      <c r="G171" s="297" t="s">
        <v>110</v>
      </c>
      <c r="H171" s="298" t="str">
        <f t="array" ref="H171">IFERROR(INDEX('計測入力シート（ここのみ編集可）'!$AY$17:$AY$116,MATCH(A165&amp;B165,'計測入力シート（ここのみ編集可）'!$BO$17:$BO$116,0)),"")</f>
        <v/>
      </c>
    </row>
    <row r="172" ht="20.25" customHeight="1">
      <c r="D172" s="299" t="s">
        <v>42</v>
      </c>
      <c r="E172" s="300" t="str">
        <f t="array" ref="E172">IFERROR(INDEX('計測入力シート（ここのみ編集可）'!$AZ$17:$AZ$116,MATCH(A165&amp;B165,'計測入力シート（ここのみ編集可）'!$BO$17:$BO$116,0)),"")</f>
        <v/>
      </c>
      <c r="F172" s="116"/>
      <c r="G172" s="301" t="s">
        <v>111</v>
      </c>
      <c r="H172" s="302" t="str">
        <f t="array" ref="H172">IFERROR(INDEX('計測入力シート（ここのみ編集可）'!$BB$17:$BB$116,MATCH(A165&amp;B165,'計測入力シート（ここのみ編集可）'!$BO$17:$BO$116,0)),"")</f>
        <v/>
      </c>
    </row>
    <row r="173" ht="20.25" customHeight="1">
      <c r="D173" s="303" t="s">
        <v>112</v>
      </c>
      <c r="E173" s="304" t="str">
        <f t="array" ref="E173">IFERROR(INDEX('計測入力シート（ここのみ編集可）'!$BC$17:$BC$116,MATCH(A165&amp;B165,'計測入力シート（ここのみ編集可）'!$BO$17:$BO$116,0)),"")</f>
        <v/>
      </c>
      <c r="F173" s="305"/>
      <c r="G173" s="306" t="s">
        <v>25</v>
      </c>
      <c r="H173" s="307" t="str">
        <f t="array" ref="H173">IFERROR(INDEX('計測入力シート（ここのみ編集可）'!$BD$17:$BD$116,MATCH(A165&amp;B165,'計測入力シート（ここのみ編集可）'!$BO$17:$BO$116,0)),"")</f>
        <v/>
      </c>
    </row>
    <row r="174" ht="20.25" customHeight="1">
      <c r="D174" s="308"/>
    </row>
    <row r="175" ht="27.0" customHeight="1">
      <c r="A175" s="52" t="str">
        <f>A165</f>
        <v>B</v>
      </c>
      <c r="B175" s="52">
        <f>B165+1</f>
        <v>18</v>
      </c>
      <c r="D175" s="271" t="s">
        <v>80</v>
      </c>
      <c r="E175" s="272" t="s">
        <v>81</v>
      </c>
      <c r="F175" s="272" t="s">
        <v>82</v>
      </c>
      <c r="G175" s="273" t="s">
        <v>49</v>
      </c>
      <c r="H175" s="274"/>
    </row>
    <row r="176" ht="27.0" customHeight="1">
      <c r="A176" s="86"/>
      <c r="B176" s="86"/>
      <c r="D176" s="275" t="str">
        <f t="array" ref="D176">IFERROR(INDEX('計測入力シート（ここのみ編集可）'!$BN$17:$BN$116,MATCH(A175&amp;B175,'計測入力シート（ここのみ編集可）'!$BO$17:$BO$116,0)),"")</f>
        <v/>
      </c>
      <c r="E176" s="276" t="str">
        <f t="array" ref="E176">IFERROR(INDEX('計測入力シート（ここのみ編集可）'!$BP$17:$BP$116,MATCH(A175&amp;B175,'計測入力シート（ここのみ編集可）'!$BO$17:$BO$116,0)),"")</f>
        <v/>
      </c>
      <c r="F176" s="277" t="str">
        <f t="array" ref="F176">IFERROR(INDEX('計測入力シート（ここのみ編集可）'!$BR$17:$BR$116,MATCH(A175&amp;B175,'計測入力シート（ここのみ編集可）'!$BO$17:$BO$116,0)),"")</f>
        <v/>
      </c>
      <c r="G176" s="278" t="str">
        <f t="array" ref="G176">IFERROR(INDEX('計測入力シート（ここのみ編集可）'!$BL$17:$BL$116,MATCH(A175&amp;B175,'計測入力シート（ここのみ編集可）'!$BO$17:$BO$116,0)),"")</f>
        <v/>
      </c>
      <c r="H176" s="279"/>
    </row>
    <row r="177" ht="27.0" customHeight="1">
      <c r="D177" s="280" t="s">
        <v>2</v>
      </c>
      <c r="E177" s="281" t="str">
        <f t="array" ref="E177">IFERROR(INDEX('計測入力シート（ここのみ編集可）'!$C$17:$C$116,MATCH(A175&amp;B175,'計測入力シート（ここのみ編集可）'!$BO$17:$BO$116,0)),"")</f>
        <v/>
      </c>
      <c r="F177" s="282" t="s">
        <v>17</v>
      </c>
      <c r="G177" s="283" t="str">
        <f t="array" ref="G177">IFERROR(INDEX('計測入力シート（ここのみ編集可）'!$D$17:$D$116,MATCH(A175&amp;B175,'計測入力シート（ここのみ編集可）'!$BO$17:$BO$116,0)),"")</f>
        <v/>
      </c>
      <c r="H177" s="284"/>
    </row>
    <row r="178" ht="27.0" customHeight="1">
      <c r="D178" s="285" t="s">
        <v>1</v>
      </c>
      <c r="E178" s="286" t="str">
        <f t="array" ref="E178">IFERROR(INDEX('計測入力シート（ここのみ編集可）'!$B$17:$B$116,MATCH(A175&amp;B175,'計測入力シート（ここのみ編集可）'!$BO$17:$BO$116,0)),"")</f>
        <v/>
      </c>
      <c r="F178" s="287" t="s">
        <v>18</v>
      </c>
      <c r="G178" s="288" t="str">
        <f t="array" ref="G178">IFERROR(INDEX('計測入力シート（ここのみ編集可）'!$E$17:$E$116,MATCH(A175&amp;B175,'計測入力シート（ここのみ編集可）'!$BO$17:$BO$116,0)),"")</f>
        <v/>
      </c>
      <c r="H178" s="289"/>
    </row>
    <row r="179" ht="24.75" customHeight="1">
      <c r="D179" s="290" t="s">
        <v>92</v>
      </c>
      <c r="E179" s="291" t="str">
        <f t="array" ref="E179">IFERROR(INDEX(#REF!,MATCH(A175&amp;B175,'計測入力シート（ここのみ編集可）'!$BO$17:$BO$116,0)),"")</f>
        <v/>
      </c>
      <c r="H179" s="232"/>
    </row>
    <row r="180" ht="52.5" customHeight="1">
      <c r="D180" s="292" t="s">
        <v>100</v>
      </c>
      <c r="E180" s="293" t="str">
        <f t="array" ref="E180">IFERROR(INDEX(#REF!,MATCH(A175&amp;B175,'計測入力シート（ここのみ編集可）'!$BO$17:$BO$116,0)),"")</f>
        <v/>
      </c>
      <c r="F180" s="95"/>
      <c r="G180" s="95"/>
      <c r="H180" s="96"/>
    </row>
    <row r="181" ht="20.25" customHeight="1">
      <c r="D181" s="294" t="s">
        <v>39</v>
      </c>
      <c r="E181" s="295" t="str">
        <f t="array" ref="E181">IFERROR(INDEX('計測入力シート（ここのみ編集可）'!$AW$17:$AW$116,MATCH(A175&amp;B175,'計測入力シート（ここのみ編集可）'!$BO$17:$BO$116,0)),"")</f>
        <v/>
      </c>
      <c r="F181" s="296"/>
      <c r="G181" s="297" t="s">
        <v>110</v>
      </c>
      <c r="H181" s="298" t="str">
        <f t="array" ref="H181">IFERROR(INDEX('計測入力シート（ここのみ編集可）'!$AY$17:$AY$116,MATCH(A175&amp;B175,'計測入力シート（ここのみ編集可）'!$BO$17:$BO$116,0)),"")</f>
        <v/>
      </c>
    </row>
    <row r="182" ht="20.25" customHeight="1">
      <c r="D182" s="299" t="s">
        <v>42</v>
      </c>
      <c r="E182" s="300" t="str">
        <f t="array" ref="E182">IFERROR(INDEX('計測入力シート（ここのみ編集可）'!$AZ$17:$AZ$116,MATCH(A175&amp;B175,'計測入力シート（ここのみ編集可）'!$BO$17:$BO$116,0)),"")</f>
        <v/>
      </c>
      <c r="F182" s="116"/>
      <c r="G182" s="301" t="s">
        <v>111</v>
      </c>
      <c r="H182" s="302" t="str">
        <f t="array" ref="H182">IFERROR(INDEX('計測入力シート（ここのみ編集可）'!$BB$17:$BB$116,MATCH(A175&amp;B175,'計測入力シート（ここのみ編集可）'!$BO$17:$BO$116,0)),"")</f>
        <v/>
      </c>
    </row>
    <row r="183" ht="20.25" customHeight="1">
      <c r="D183" s="303" t="s">
        <v>112</v>
      </c>
      <c r="E183" s="304" t="str">
        <f t="array" ref="E183">IFERROR(INDEX('計測入力シート（ここのみ編集可）'!$BC$17:$BC$116,MATCH(A175&amp;B175,'計測入力シート（ここのみ編集可）'!$BO$17:$BO$116,0)),"")</f>
        <v/>
      </c>
      <c r="F183" s="305"/>
      <c r="G183" s="306" t="s">
        <v>25</v>
      </c>
      <c r="H183" s="307" t="str">
        <f t="array" ref="H183">IFERROR(INDEX('計測入力シート（ここのみ編集可）'!$BD$17:$BD$116,MATCH(A175&amp;B175,'計測入力シート（ここのみ編集可）'!$BO$17:$BO$116,0)),"")</f>
        <v/>
      </c>
    </row>
    <row r="184" ht="20.25" customHeight="1">
      <c r="D184" s="308"/>
    </row>
    <row r="185" ht="27.0" customHeight="1">
      <c r="A185" s="52" t="str">
        <f>A175</f>
        <v>B</v>
      </c>
      <c r="B185" s="52">
        <f>B175+1</f>
        <v>19</v>
      </c>
      <c r="D185" s="271" t="s">
        <v>80</v>
      </c>
      <c r="E185" s="272" t="s">
        <v>81</v>
      </c>
      <c r="F185" s="272" t="s">
        <v>82</v>
      </c>
      <c r="G185" s="273" t="s">
        <v>49</v>
      </c>
      <c r="H185" s="274"/>
    </row>
    <row r="186" ht="27.0" customHeight="1">
      <c r="A186" s="86"/>
      <c r="B186" s="86"/>
      <c r="D186" s="275" t="str">
        <f t="array" ref="D186">IFERROR(INDEX('計測入力シート（ここのみ編集可）'!$BN$17:$BN$116,MATCH(A185&amp;B185,'計測入力シート（ここのみ編集可）'!$BO$17:$BO$116,0)),"")</f>
        <v/>
      </c>
      <c r="E186" s="276" t="str">
        <f t="array" ref="E186">IFERROR(INDEX('計測入力シート（ここのみ編集可）'!$BP$17:$BP$116,MATCH(A185&amp;B185,'計測入力シート（ここのみ編集可）'!$BO$17:$BO$116,0)),"")</f>
        <v/>
      </c>
      <c r="F186" s="277" t="str">
        <f t="array" ref="F186">IFERROR(INDEX('計測入力シート（ここのみ編集可）'!$BR$17:$BR$116,MATCH(A185&amp;B185,'計測入力シート（ここのみ編集可）'!$BO$17:$BO$116,0)),"")</f>
        <v/>
      </c>
      <c r="G186" s="278" t="str">
        <f t="array" ref="G186">IFERROR(INDEX('計測入力シート（ここのみ編集可）'!$BL$17:$BL$116,MATCH(A185&amp;B185,'計測入力シート（ここのみ編集可）'!$BO$17:$BO$116,0)),"")</f>
        <v/>
      </c>
      <c r="H186" s="279"/>
    </row>
    <row r="187" ht="27.0" customHeight="1">
      <c r="D187" s="280" t="s">
        <v>2</v>
      </c>
      <c r="E187" s="281" t="str">
        <f t="array" ref="E187">IFERROR(INDEX('計測入力シート（ここのみ編集可）'!$C$17:$C$116,MATCH(A185&amp;B185,'計測入力シート（ここのみ編集可）'!$BO$17:$BO$116,0)),"")</f>
        <v/>
      </c>
      <c r="F187" s="282" t="s">
        <v>17</v>
      </c>
      <c r="G187" s="283" t="str">
        <f t="array" ref="G187">IFERROR(INDEX('計測入力シート（ここのみ編集可）'!$D$17:$D$116,MATCH(A185&amp;B185,'計測入力シート（ここのみ編集可）'!$BO$17:$BO$116,0)),"")</f>
        <v/>
      </c>
      <c r="H187" s="284"/>
    </row>
    <row r="188" ht="27.0" customHeight="1">
      <c r="D188" s="285" t="s">
        <v>1</v>
      </c>
      <c r="E188" s="286" t="str">
        <f t="array" ref="E188">IFERROR(INDEX('計測入力シート（ここのみ編集可）'!$B$17:$B$116,MATCH(A185&amp;B185,'計測入力シート（ここのみ編集可）'!$BO$17:$BO$116,0)),"")</f>
        <v/>
      </c>
      <c r="F188" s="287" t="s">
        <v>18</v>
      </c>
      <c r="G188" s="288" t="str">
        <f t="array" ref="G188">IFERROR(INDEX('計測入力シート（ここのみ編集可）'!$E$17:$E$116,MATCH(A185&amp;B185,'計測入力シート（ここのみ編集可）'!$BO$17:$BO$116,0)),"")</f>
        <v/>
      </c>
      <c r="H188" s="289"/>
    </row>
    <row r="189" ht="24.75" customHeight="1">
      <c r="D189" s="290" t="s">
        <v>92</v>
      </c>
      <c r="E189" s="291" t="str">
        <f t="array" ref="E189">IFERROR(INDEX(#REF!,MATCH(A185&amp;B185,'計測入力シート（ここのみ編集可）'!$BO$17:$BO$116,0)),"")</f>
        <v/>
      </c>
      <c r="H189" s="232"/>
    </row>
    <row r="190" ht="52.5" customHeight="1">
      <c r="D190" s="292" t="s">
        <v>100</v>
      </c>
      <c r="E190" s="293" t="str">
        <f t="array" ref="E190">IFERROR(INDEX(#REF!,MATCH(A185&amp;B185,'計測入力シート（ここのみ編集可）'!$BO$17:$BO$116,0)),"")</f>
        <v/>
      </c>
      <c r="F190" s="95"/>
      <c r="G190" s="95"/>
      <c r="H190" s="96"/>
    </row>
    <row r="191" ht="20.25" customHeight="1">
      <c r="D191" s="294" t="s">
        <v>39</v>
      </c>
      <c r="E191" s="295" t="str">
        <f t="array" ref="E191">IFERROR(INDEX('計測入力シート（ここのみ編集可）'!$AW$17:$AW$116,MATCH(A185&amp;B185,'計測入力シート（ここのみ編集可）'!$BO$17:$BO$116,0)),"")</f>
        <v/>
      </c>
      <c r="F191" s="296"/>
      <c r="G191" s="297" t="s">
        <v>110</v>
      </c>
      <c r="H191" s="298" t="str">
        <f t="array" ref="H191">IFERROR(INDEX('計測入力シート（ここのみ編集可）'!$AY$17:$AY$116,MATCH(A185&amp;B185,'計測入力シート（ここのみ編集可）'!$BO$17:$BO$116,0)),"")</f>
        <v/>
      </c>
    </row>
    <row r="192" ht="20.25" customHeight="1">
      <c r="D192" s="299" t="s">
        <v>42</v>
      </c>
      <c r="E192" s="300" t="str">
        <f t="array" ref="E192">IFERROR(INDEX('計測入力シート（ここのみ編集可）'!$AZ$17:$AZ$116,MATCH(A185&amp;B185,'計測入力シート（ここのみ編集可）'!$BO$17:$BO$116,0)),"")</f>
        <v/>
      </c>
      <c r="F192" s="116"/>
      <c r="G192" s="301" t="s">
        <v>111</v>
      </c>
      <c r="H192" s="302" t="str">
        <f t="array" ref="H192">IFERROR(INDEX('計測入力シート（ここのみ編集可）'!$BB$17:$BB$116,MATCH(A185&amp;B185,'計測入力シート（ここのみ編集可）'!$BO$17:$BO$116,0)),"")</f>
        <v/>
      </c>
    </row>
    <row r="193" ht="20.25" customHeight="1">
      <c r="D193" s="303" t="s">
        <v>112</v>
      </c>
      <c r="E193" s="304" t="str">
        <f t="array" ref="E193">IFERROR(INDEX('計測入力シート（ここのみ編集可）'!$BC$17:$BC$116,MATCH(A185&amp;B185,'計測入力シート（ここのみ編集可）'!$BO$17:$BO$116,0)),"")</f>
        <v/>
      </c>
      <c r="F193" s="305"/>
      <c r="G193" s="306" t="s">
        <v>25</v>
      </c>
      <c r="H193" s="307" t="str">
        <f t="array" ref="H193">IFERROR(INDEX('計測入力シート（ここのみ編集可）'!$BD$17:$BD$116,MATCH(A185&amp;B185,'計測入力シート（ここのみ編集可）'!$BO$17:$BO$116,0)),"")</f>
        <v/>
      </c>
    </row>
    <row r="194" ht="20.25" customHeight="1">
      <c r="D194" s="308"/>
    </row>
    <row r="195" ht="27.0" customHeight="1">
      <c r="A195" s="52" t="str">
        <f>A185</f>
        <v>B</v>
      </c>
      <c r="B195" s="52">
        <f>B185+1</f>
        <v>20</v>
      </c>
      <c r="D195" s="271" t="s">
        <v>80</v>
      </c>
      <c r="E195" s="272" t="s">
        <v>81</v>
      </c>
      <c r="F195" s="272" t="s">
        <v>82</v>
      </c>
      <c r="G195" s="273" t="s">
        <v>49</v>
      </c>
      <c r="H195" s="274"/>
    </row>
    <row r="196" ht="27.0" customHeight="1">
      <c r="A196" s="86"/>
      <c r="B196" s="86"/>
      <c r="D196" s="275" t="str">
        <f t="array" ref="D196">IFERROR(INDEX('計測入力シート（ここのみ編集可）'!$BN$17:$BN$116,MATCH(A195&amp;B195,'計測入力シート（ここのみ編集可）'!$BO$17:$BO$116,0)),"")</f>
        <v/>
      </c>
      <c r="E196" s="276" t="str">
        <f t="array" ref="E196">IFERROR(INDEX('計測入力シート（ここのみ編集可）'!$BP$17:$BP$116,MATCH(A195&amp;B195,'計測入力シート（ここのみ編集可）'!$BO$17:$BO$116,0)),"")</f>
        <v/>
      </c>
      <c r="F196" s="277" t="str">
        <f t="array" ref="F196">IFERROR(INDEX('計測入力シート（ここのみ編集可）'!$BR$17:$BR$116,MATCH(A195&amp;B195,'計測入力シート（ここのみ編集可）'!$BO$17:$BO$116,0)),"")</f>
        <v/>
      </c>
      <c r="G196" s="278" t="str">
        <f t="array" ref="G196">IFERROR(INDEX('計測入力シート（ここのみ編集可）'!$BL$17:$BL$116,MATCH(A195&amp;B195,'計測入力シート（ここのみ編集可）'!$BO$17:$BO$116,0)),"")</f>
        <v/>
      </c>
      <c r="H196" s="279"/>
    </row>
    <row r="197" ht="27.0" customHeight="1">
      <c r="D197" s="280" t="s">
        <v>2</v>
      </c>
      <c r="E197" s="281" t="str">
        <f t="array" ref="E197">IFERROR(INDEX('計測入力シート（ここのみ編集可）'!$C$17:$C$116,MATCH(A195&amp;B195,'計測入力シート（ここのみ編集可）'!$BO$17:$BO$116,0)),"")</f>
        <v/>
      </c>
      <c r="F197" s="282" t="s">
        <v>17</v>
      </c>
      <c r="G197" s="283" t="str">
        <f t="array" ref="G197">IFERROR(INDEX('計測入力シート（ここのみ編集可）'!$D$17:$D$116,MATCH(A195&amp;B195,'計測入力シート（ここのみ編集可）'!$BO$17:$BO$116,0)),"")</f>
        <v/>
      </c>
      <c r="H197" s="284"/>
    </row>
    <row r="198" ht="27.0" customHeight="1">
      <c r="D198" s="285" t="s">
        <v>1</v>
      </c>
      <c r="E198" s="286" t="str">
        <f t="array" ref="E198">IFERROR(INDEX('計測入力シート（ここのみ編集可）'!$B$17:$B$116,MATCH(A195&amp;B195,'計測入力シート（ここのみ編集可）'!$BO$17:$BO$116,0)),"")</f>
        <v/>
      </c>
      <c r="F198" s="287" t="s">
        <v>18</v>
      </c>
      <c r="G198" s="288" t="str">
        <f t="array" ref="G198">IFERROR(INDEX('計測入力シート（ここのみ編集可）'!$E$17:$E$116,MATCH(A195&amp;B195,'計測入力シート（ここのみ編集可）'!$BO$17:$BO$116,0)),"")</f>
        <v/>
      </c>
      <c r="H198" s="289"/>
    </row>
    <row r="199" ht="24.75" customHeight="1">
      <c r="D199" s="290" t="s">
        <v>92</v>
      </c>
      <c r="E199" s="291" t="str">
        <f t="array" ref="E199">IFERROR(INDEX(#REF!,MATCH(A195&amp;B195,'計測入力シート（ここのみ編集可）'!$BO$17:$BO$116,0)),"")</f>
        <v/>
      </c>
      <c r="H199" s="232"/>
    </row>
    <row r="200" ht="52.5" customHeight="1">
      <c r="D200" s="292" t="s">
        <v>100</v>
      </c>
      <c r="E200" s="293" t="str">
        <f t="array" ref="E200">IFERROR(INDEX(#REF!,MATCH(A195&amp;B195,'計測入力シート（ここのみ編集可）'!$BO$17:$BO$116,0)),"")</f>
        <v/>
      </c>
      <c r="F200" s="95"/>
      <c r="G200" s="95"/>
      <c r="H200" s="96"/>
    </row>
    <row r="201" ht="20.25" customHeight="1">
      <c r="D201" s="294" t="s">
        <v>39</v>
      </c>
      <c r="E201" s="295" t="str">
        <f t="array" ref="E201">IFERROR(INDEX('計測入力シート（ここのみ編集可）'!$AW$17:$AW$116,MATCH(A195&amp;B195,'計測入力シート（ここのみ編集可）'!$BO$17:$BO$116,0)),"")</f>
        <v/>
      </c>
      <c r="F201" s="296"/>
      <c r="G201" s="297" t="s">
        <v>110</v>
      </c>
      <c r="H201" s="298" t="str">
        <f t="array" ref="H201">IFERROR(INDEX('計測入力シート（ここのみ編集可）'!$AY$17:$AY$116,MATCH(A195&amp;B195,'計測入力シート（ここのみ編集可）'!$BO$17:$BO$116,0)),"")</f>
        <v/>
      </c>
    </row>
    <row r="202" ht="20.25" customHeight="1">
      <c r="D202" s="299" t="s">
        <v>42</v>
      </c>
      <c r="E202" s="300" t="str">
        <f t="array" ref="E202">IFERROR(INDEX('計測入力シート（ここのみ編集可）'!$AZ$17:$AZ$116,MATCH(A195&amp;B195,'計測入力シート（ここのみ編集可）'!$BO$17:$BO$116,0)),"")</f>
        <v/>
      </c>
      <c r="F202" s="116"/>
      <c r="G202" s="301" t="s">
        <v>111</v>
      </c>
      <c r="H202" s="302" t="str">
        <f t="array" ref="H202">IFERROR(INDEX('計測入力シート（ここのみ編集可）'!$BB$17:$BB$116,MATCH(A195&amp;B195,'計測入力シート（ここのみ編集可）'!$BO$17:$BO$116,0)),"")</f>
        <v/>
      </c>
    </row>
    <row r="203" ht="20.25" customHeight="1">
      <c r="D203" s="303" t="s">
        <v>112</v>
      </c>
      <c r="E203" s="304" t="str">
        <f t="array" ref="E203">IFERROR(INDEX('計測入力シート（ここのみ編集可）'!$BC$17:$BC$116,MATCH(A195&amp;B195,'計測入力シート（ここのみ編集可）'!$BO$17:$BO$116,0)),"")</f>
        <v/>
      </c>
      <c r="F203" s="305"/>
      <c r="G203" s="306" t="s">
        <v>25</v>
      </c>
      <c r="H203" s="307" t="str">
        <f t="array" ref="H203">IFERROR(INDEX('計測入力シート（ここのみ編集可）'!$BD$17:$BD$116,MATCH(A195&amp;B195,'計測入力シート（ここのみ編集可）'!$BO$17:$BO$116,0)),"")</f>
        <v/>
      </c>
    </row>
    <row r="204" ht="20.25" customHeight="1">
      <c r="D204" s="308"/>
    </row>
    <row r="205" ht="27.0" customHeight="1">
      <c r="A205" s="52" t="str">
        <f>A195</f>
        <v>B</v>
      </c>
      <c r="B205" s="52">
        <f>B195+1</f>
        <v>21</v>
      </c>
      <c r="D205" s="271" t="s">
        <v>80</v>
      </c>
      <c r="E205" s="272" t="s">
        <v>81</v>
      </c>
      <c r="F205" s="272" t="s">
        <v>82</v>
      </c>
      <c r="G205" s="273" t="s">
        <v>49</v>
      </c>
      <c r="H205" s="274"/>
    </row>
    <row r="206" ht="27.0" customHeight="1">
      <c r="A206" s="86"/>
      <c r="B206" s="86"/>
      <c r="D206" s="275" t="str">
        <f t="array" ref="D206">IFERROR(INDEX('計測入力シート（ここのみ編集可）'!$BN$17:$BN$116,MATCH(A205&amp;B205,'計測入力シート（ここのみ編集可）'!$BO$17:$BO$116,0)),"")</f>
        <v/>
      </c>
      <c r="E206" s="276" t="str">
        <f t="array" ref="E206">IFERROR(INDEX('計測入力シート（ここのみ編集可）'!$BP$17:$BP$116,MATCH(A205&amp;B205,'計測入力シート（ここのみ編集可）'!$BO$17:$BO$116,0)),"")</f>
        <v/>
      </c>
      <c r="F206" s="277" t="str">
        <f t="array" ref="F206">IFERROR(INDEX('計測入力シート（ここのみ編集可）'!$BR$17:$BR$116,MATCH(A205&amp;B205,'計測入力シート（ここのみ編集可）'!$BO$17:$BO$116,0)),"")</f>
        <v/>
      </c>
      <c r="G206" s="278" t="str">
        <f t="array" ref="G206">IFERROR(INDEX('計測入力シート（ここのみ編集可）'!$BL$17:$BL$116,MATCH(A205&amp;B205,'計測入力シート（ここのみ編集可）'!$BO$17:$BO$116,0)),"")</f>
        <v/>
      </c>
      <c r="H206" s="279"/>
    </row>
    <row r="207" ht="27.0" customHeight="1">
      <c r="D207" s="280" t="s">
        <v>2</v>
      </c>
      <c r="E207" s="281" t="str">
        <f t="array" ref="E207">IFERROR(INDEX('計測入力シート（ここのみ編集可）'!$C$17:$C$116,MATCH(A205&amp;B205,'計測入力シート（ここのみ編集可）'!$BO$17:$BO$116,0)),"")</f>
        <v/>
      </c>
      <c r="F207" s="282" t="s">
        <v>17</v>
      </c>
      <c r="G207" s="283" t="str">
        <f t="array" ref="G207">IFERROR(INDEX('計測入力シート（ここのみ編集可）'!$D$17:$D$116,MATCH(A205&amp;B205,'計測入力シート（ここのみ編集可）'!$BO$17:$BO$116,0)),"")</f>
        <v/>
      </c>
      <c r="H207" s="284"/>
    </row>
    <row r="208" ht="27.0" customHeight="1">
      <c r="D208" s="285" t="s">
        <v>1</v>
      </c>
      <c r="E208" s="286" t="str">
        <f t="array" ref="E208">IFERROR(INDEX('計測入力シート（ここのみ編集可）'!$B$17:$B$116,MATCH(A205&amp;B205,'計測入力シート（ここのみ編集可）'!$BO$17:$BO$116,0)),"")</f>
        <v/>
      </c>
      <c r="F208" s="287" t="s">
        <v>18</v>
      </c>
      <c r="G208" s="288" t="str">
        <f t="array" ref="G208">IFERROR(INDEX('計測入力シート（ここのみ編集可）'!$E$17:$E$116,MATCH(A205&amp;B205,'計測入力シート（ここのみ編集可）'!$BO$17:$BO$116,0)),"")</f>
        <v/>
      </c>
      <c r="H208" s="289"/>
    </row>
    <row r="209" ht="24.75" customHeight="1">
      <c r="D209" s="290" t="s">
        <v>92</v>
      </c>
      <c r="E209" s="291" t="str">
        <f t="array" ref="E209">IFERROR(INDEX(#REF!,MATCH(A205&amp;B205,'計測入力シート（ここのみ編集可）'!$BO$17:$BO$116,0)),"")</f>
        <v/>
      </c>
      <c r="H209" s="232"/>
    </row>
    <row r="210" ht="52.5" customHeight="1">
      <c r="D210" s="292" t="s">
        <v>100</v>
      </c>
      <c r="E210" s="293" t="str">
        <f t="array" ref="E210">IFERROR(INDEX(#REF!,MATCH(A205&amp;B205,'計測入力シート（ここのみ編集可）'!$BO$17:$BO$116,0)),"")</f>
        <v/>
      </c>
      <c r="F210" s="95"/>
      <c r="G210" s="95"/>
      <c r="H210" s="96"/>
    </row>
    <row r="211" ht="20.25" customHeight="1">
      <c r="D211" s="294" t="s">
        <v>39</v>
      </c>
      <c r="E211" s="295" t="str">
        <f t="array" ref="E211">IFERROR(INDEX('計測入力シート（ここのみ編集可）'!$AW$17:$AW$116,MATCH(A205&amp;B205,'計測入力シート（ここのみ編集可）'!$BO$17:$BO$116,0)),"")</f>
        <v/>
      </c>
      <c r="F211" s="296"/>
      <c r="G211" s="297" t="s">
        <v>110</v>
      </c>
      <c r="H211" s="298" t="str">
        <f t="array" ref="H211">IFERROR(INDEX('計測入力シート（ここのみ編集可）'!$AY$17:$AY$116,MATCH(A205&amp;B205,'計測入力シート（ここのみ編集可）'!$BO$17:$BO$116,0)),"")</f>
        <v/>
      </c>
    </row>
    <row r="212" ht="20.25" customHeight="1">
      <c r="D212" s="299" t="s">
        <v>42</v>
      </c>
      <c r="E212" s="300" t="str">
        <f t="array" ref="E212">IFERROR(INDEX('計測入力シート（ここのみ編集可）'!$AZ$17:$AZ$116,MATCH(A205&amp;B205,'計測入力シート（ここのみ編集可）'!$BO$17:$BO$116,0)),"")</f>
        <v/>
      </c>
      <c r="F212" s="116"/>
      <c r="G212" s="301" t="s">
        <v>111</v>
      </c>
      <c r="H212" s="302" t="str">
        <f t="array" ref="H212">IFERROR(INDEX('計測入力シート（ここのみ編集可）'!$BB$17:$BB$116,MATCH(A205&amp;B205,'計測入力シート（ここのみ編集可）'!$BO$17:$BO$116,0)),"")</f>
        <v/>
      </c>
    </row>
    <row r="213" ht="20.25" customHeight="1">
      <c r="D213" s="303" t="s">
        <v>112</v>
      </c>
      <c r="E213" s="304" t="str">
        <f t="array" ref="E213">IFERROR(INDEX('計測入力シート（ここのみ編集可）'!$BC$17:$BC$116,MATCH(A205&amp;B205,'計測入力シート（ここのみ編集可）'!$BO$17:$BO$116,0)),"")</f>
        <v/>
      </c>
      <c r="F213" s="305"/>
      <c r="G213" s="306" t="s">
        <v>25</v>
      </c>
      <c r="H213" s="307" t="str">
        <f t="array" ref="H213">IFERROR(INDEX('計測入力シート（ここのみ編集可）'!$BD$17:$BD$116,MATCH(A205&amp;B205,'計測入力シート（ここのみ編集可）'!$BO$17:$BO$116,0)),"")</f>
        <v/>
      </c>
    </row>
    <row r="214" ht="20.25" customHeight="1">
      <c r="D214" s="308"/>
    </row>
    <row r="215" ht="27.0" customHeight="1">
      <c r="A215" s="52" t="str">
        <f>A205</f>
        <v>B</v>
      </c>
      <c r="B215" s="52">
        <f>B205+1</f>
        <v>22</v>
      </c>
      <c r="D215" s="271" t="s">
        <v>80</v>
      </c>
      <c r="E215" s="272" t="s">
        <v>81</v>
      </c>
      <c r="F215" s="272" t="s">
        <v>82</v>
      </c>
      <c r="G215" s="273" t="s">
        <v>49</v>
      </c>
      <c r="H215" s="274"/>
    </row>
    <row r="216" ht="27.0" customHeight="1">
      <c r="A216" s="86"/>
      <c r="B216" s="86"/>
      <c r="D216" s="275" t="str">
        <f t="array" ref="D216">IFERROR(INDEX('計測入力シート（ここのみ編集可）'!$BN$17:$BN$116,MATCH(A215&amp;B215,'計測入力シート（ここのみ編集可）'!$BO$17:$BO$116,0)),"")</f>
        <v/>
      </c>
      <c r="E216" s="276" t="str">
        <f t="array" ref="E216">IFERROR(INDEX('計測入力シート（ここのみ編集可）'!$BP$17:$BP$116,MATCH(A215&amp;B215,'計測入力シート（ここのみ編集可）'!$BO$17:$BO$116,0)),"")</f>
        <v/>
      </c>
      <c r="F216" s="277" t="str">
        <f t="array" ref="F216">IFERROR(INDEX('計測入力シート（ここのみ編集可）'!$BR$17:$BR$116,MATCH(A215&amp;B215,'計測入力シート（ここのみ編集可）'!$BO$17:$BO$116,0)),"")</f>
        <v/>
      </c>
      <c r="G216" s="278" t="str">
        <f t="array" ref="G216">IFERROR(INDEX('計測入力シート（ここのみ編集可）'!$BL$17:$BL$116,MATCH(A215&amp;B215,'計測入力シート（ここのみ編集可）'!$BO$17:$BO$116,0)),"")</f>
        <v/>
      </c>
      <c r="H216" s="279"/>
    </row>
    <row r="217" ht="27.0" customHeight="1">
      <c r="D217" s="280" t="s">
        <v>2</v>
      </c>
      <c r="E217" s="281" t="str">
        <f t="array" ref="E217">IFERROR(INDEX('計測入力シート（ここのみ編集可）'!$C$17:$C$116,MATCH(A215&amp;B215,'計測入力シート（ここのみ編集可）'!$BO$17:$BO$116,0)),"")</f>
        <v/>
      </c>
      <c r="F217" s="282" t="s">
        <v>17</v>
      </c>
      <c r="G217" s="283" t="str">
        <f t="array" ref="G217">IFERROR(INDEX('計測入力シート（ここのみ編集可）'!$D$17:$D$116,MATCH(A215&amp;B215,'計測入力シート（ここのみ編集可）'!$BO$17:$BO$116,0)),"")</f>
        <v/>
      </c>
      <c r="H217" s="284"/>
    </row>
    <row r="218" ht="27.0" customHeight="1">
      <c r="D218" s="285" t="s">
        <v>1</v>
      </c>
      <c r="E218" s="286" t="str">
        <f t="array" ref="E218">IFERROR(INDEX('計測入力シート（ここのみ編集可）'!$B$17:$B$116,MATCH(A215&amp;B215,'計測入力シート（ここのみ編集可）'!$BO$17:$BO$116,0)),"")</f>
        <v/>
      </c>
      <c r="F218" s="287" t="s">
        <v>18</v>
      </c>
      <c r="G218" s="288" t="str">
        <f t="array" ref="G218">IFERROR(INDEX('計測入力シート（ここのみ編集可）'!$E$17:$E$116,MATCH(A215&amp;B215,'計測入力シート（ここのみ編集可）'!$BO$17:$BO$116,0)),"")</f>
        <v/>
      </c>
      <c r="H218" s="289"/>
    </row>
    <row r="219" ht="24.75" customHeight="1">
      <c r="D219" s="290" t="s">
        <v>92</v>
      </c>
      <c r="E219" s="291" t="str">
        <f t="array" ref="E219">IFERROR(INDEX(#REF!,MATCH(A215&amp;B215,'計測入力シート（ここのみ編集可）'!$BO$17:$BO$116,0)),"")</f>
        <v/>
      </c>
      <c r="H219" s="232"/>
    </row>
    <row r="220" ht="52.5" customHeight="1">
      <c r="D220" s="292" t="s">
        <v>100</v>
      </c>
      <c r="E220" s="293" t="str">
        <f t="array" ref="E220">IFERROR(INDEX(#REF!,MATCH(A215&amp;B215,'計測入力シート（ここのみ編集可）'!$BO$17:$BO$116,0)),"")</f>
        <v/>
      </c>
      <c r="F220" s="95"/>
      <c r="G220" s="95"/>
      <c r="H220" s="96"/>
    </row>
    <row r="221" ht="20.25" customHeight="1">
      <c r="D221" s="294" t="s">
        <v>39</v>
      </c>
      <c r="E221" s="295" t="str">
        <f t="array" ref="E221">IFERROR(INDEX('計測入力シート（ここのみ編集可）'!$AW$17:$AW$116,MATCH(A215&amp;B215,'計測入力シート（ここのみ編集可）'!$BO$17:$BO$116,0)),"")</f>
        <v/>
      </c>
      <c r="F221" s="296"/>
      <c r="G221" s="297" t="s">
        <v>110</v>
      </c>
      <c r="H221" s="298" t="str">
        <f t="array" ref="H221">IFERROR(INDEX('計測入力シート（ここのみ編集可）'!$AY$17:$AY$116,MATCH(A215&amp;B215,'計測入力シート（ここのみ編集可）'!$BO$17:$BO$116,0)),"")</f>
        <v/>
      </c>
    </row>
    <row r="222" ht="20.25" customHeight="1">
      <c r="D222" s="299" t="s">
        <v>42</v>
      </c>
      <c r="E222" s="300" t="str">
        <f t="array" ref="E222">IFERROR(INDEX('計測入力シート（ここのみ編集可）'!$AZ$17:$AZ$116,MATCH(A215&amp;B215,'計測入力シート（ここのみ編集可）'!$BO$17:$BO$116,0)),"")</f>
        <v/>
      </c>
      <c r="F222" s="116"/>
      <c r="G222" s="301" t="s">
        <v>111</v>
      </c>
      <c r="H222" s="302" t="str">
        <f t="array" ref="H222">IFERROR(INDEX('計測入力シート（ここのみ編集可）'!$BB$17:$BB$116,MATCH(A215&amp;B215,'計測入力シート（ここのみ編集可）'!$BO$17:$BO$116,0)),"")</f>
        <v/>
      </c>
    </row>
    <row r="223" ht="20.25" customHeight="1">
      <c r="D223" s="303" t="s">
        <v>112</v>
      </c>
      <c r="E223" s="304" t="str">
        <f t="array" ref="E223">IFERROR(INDEX('計測入力シート（ここのみ編集可）'!$BC$17:$BC$116,MATCH(A215&amp;B215,'計測入力シート（ここのみ編集可）'!$BO$17:$BO$116,0)),"")</f>
        <v/>
      </c>
      <c r="F223" s="305"/>
      <c r="G223" s="306" t="s">
        <v>25</v>
      </c>
      <c r="H223" s="307" t="str">
        <f t="array" ref="H223">IFERROR(INDEX('計測入力シート（ここのみ編集可）'!$BD$17:$BD$116,MATCH(A215&amp;B215,'計測入力シート（ここのみ編集可）'!$BO$17:$BO$116,0)),"")</f>
        <v/>
      </c>
    </row>
    <row r="224" ht="20.25" customHeight="1">
      <c r="D224" s="308"/>
    </row>
    <row r="225" ht="27.0" customHeight="1">
      <c r="A225" s="52" t="str">
        <f>A215</f>
        <v>B</v>
      </c>
      <c r="B225" s="52">
        <f>B215+1</f>
        <v>23</v>
      </c>
      <c r="D225" s="271" t="s">
        <v>80</v>
      </c>
      <c r="E225" s="272" t="s">
        <v>81</v>
      </c>
      <c r="F225" s="272" t="s">
        <v>82</v>
      </c>
      <c r="G225" s="273" t="s">
        <v>49</v>
      </c>
      <c r="H225" s="274"/>
    </row>
    <row r="226" ht="27.0" customHeight="1">
      <c r="A226" s="86"/>
      <c r="B226" s="86"/>
      <c r="D226" s="275" t="str">
        <f t="array" ref="D226">IFERROR(INDEX('計測入力シート（ここのみ編集可）'!$BN$17:$BN$116,MATCH(A225&amp;B225,'計測入力シート（ここのみ編集可）'!$BO$17:$BO$116,0)),"")</f>
        <v/>
      </c>
      <c r="E226" s="276" t="str">
        <f t="array" ref="E226">IFERROR(INDEX('計測入力シート（ここのみ編集可）'!$BP$17:$BP$116,MATCH(A225&amp;B225,'計測入力シート（ここのみ編集可）'!$BO$17:$BO$116,0)),"")</f>
        <v/>
      </c>
      <c r="F226" s="277" t="str">
        <f t="array" ref="F226">IFERROR(INDEX('計測入力シート（ここのみ編集可）'!$BR$17:$BR$116,MATCH(A225&amp;B225,'計測入力シート（ここのみ編集可）'!$BO$17:$BO$116,0)),"")</f>
        <v/>
      </c>
      <c r="G226" s="278" t="str">
        <f t="array" ref="G226">IFERROR(INDEX('計測入力シート（ここのみ編集可）'!$BL$17:$BL$116,MATCH(A225&amp;B225,'計測入力シート（ここのみ編集可）'!$BO$17:$BO$116,0)),"")</f>
        <v/>
      </c>
      <c r="H226" s="279"/>
    </row>
    <row r="227" ht="27.0" customHeight="1">
      <c r="D227" s="280" t="s">
        <v>2</v>
      </c>
      <c r="E227" s="281" t="str">
        <f t="array" ref="E227">IFERROR(INDEX('計測入力シート（ここのみ編集可）'!$C$17:$C$116,MATCH(A225&amp;B225,'計測入力シート（ここのみ編集可）'!$BO$17:$BO$116,0)),"")</f>
        <v/>
      </c>
      <c r="F227" s="282" t="s">
        <v>17</v>
      </c>
      <c r="G227" s="283" t="str">
        <f t="array" ref="G227">IFERROR(INDEX('計測入力シート（ここのみ編集可）'!$D$17:$D$116,MATCH(A225&amp;B225,'計測入力シート（ここのみ編集可）'!$BO$17:$BO$116,0)),"")</f>
        <v/>
      </c>
      <c r="H227" s="284"/>
    </row>
    <row r="228" ht="27.0" customHeight="1">
      <c r="D228" s="285" t="s">
        <v>1</v>
      </c>
      <c r="E228" s="286" t="str">
        <f t="array" ref="E228">IFERROR(INDEX('計測入力シート（ここのみ編集可）'!$B$17:$B$116,MATCH(A225&amp;B225,'計測入力シート（ここのみ編集可）'!$BO$17:$BO$116,0)),"")</f>
        <v/>
      </c>
      <c r="F228" s="287" t="s">
        <v>18</v>
      </c>
      <c r="G228" s="288" t="str">
        <f t="array" ref="G228">IFERROR(INDEX('計測入力シート（ここのみ編集可）'!$E$17:$E$116,MATCH(A225&amp;B225,'計測入力シート（ここのみ編集可）'!$BO$17:$BO$116,0)),"")</f>
        <v/>
      </c>
      <c r="H228" s="289"/>
    </row>
    <row r="229" ht="24.75" customHeight="1">
      <c r="D229" s="290" t="s">
        <v>92</v>
      </c>
      <c r="E229" s="291" t="str">
        <f t="array" ref="E229">IFERROR(INDEX(#REF!,MATCH(A225&amp;B225,'計測入力シート（ここのみ編集可）'!$BO$17:$BO$116,0)),"")</f>
        <v/>
      </c>
      <c r="H229" s="232"/>
    </row>
    <row r="230" ht="52.5" customHeight="1">
      <c r="D230" s="292" t="s">
        <v>100</v>
      </c>
      <c r="E230" s="293" t="str">
        <f t="array" ref="E230">IFERROR(INDEX(#REF!,MATCH(A225&amp;B225,'計測入力シート（ここのみ編集可）'!$BO$17:$BO$116,0)),"")</f>
        <v/>
      </c>
      <c r="F230" s="95"/>
      <c r="G230" s="95"/>
      <c r="H230" s="96"/>
    </row>
    <row r="231" ht="20.25" customHeight="1">
      <c r="D231" s="294" t="s">
        <v>39</v>
      </c>
      <c r="E231" s="295" t="str">
        <f t="array" ref="E231">IFERROR(INDEX('計測入力シート（ここのみ編集可）'!$AW$17:$AW$116,MATCH(A225&amp;B225,'計測入力シート（ここのみ編集可）'!$BO$17:$BO$116,0)),"")</f>
        <v/>
      </c>
      <c r="F231" s="296"/>
      <c r="G231" s="297" t="s">
        <v>110</v>
      </c>
      <c r="H231" s="298" t="str">
        <f t="array" ref="H231">IFERROR(INDEX('計測入力シート（ここのみ編集可）'!$AY$17:$AY$116,MATCH(A225&amp;B225,'計測入力シート（ここのみ編集可）'!$BO$17:$BO$116,0)),"")</f>
        <v/>
      </c>
    </row>
    <row r="232" ht="20.25" customHeight="1">
      <c r="D232" s="299" t="s">
        <v>42</v>
      </c>
      <c r="E232" s="300" t="str">
        <f t="array" ref="E232">IFERROR(INDEX('計測入力シート（ここのみ編集可）'!$AZ$17:$AZ$116,MATCH(A225&amp;B225,'計測入力シート（ここのみ編集可）'!$BO$17:$BO$116,0)),"")</f>
        <v/>
      </c>
      <c r="F232" s="116"/>
      <c r="G232" s="301" t="s">
        <v>111</v>
      </c>
      <c r="H232" s="302" t="str">
        <f t="array" ref="H232">IFERROR(INDEX('計測入力シート（ここのみ編集可）'!$BB$17:$BB$116,MATCH(A225&amp;B225,'計測入力シート（ここのみ編集可）'!$BO$17:$BO$116,0)),"")</f>
        <v/>
      </c>
    </row>
    <row r="233" ht="20.25" customHeight="1">
      <c r="D233" s="303" t="s">
        <v>112</v>
      </c>
      <c r="E233" s="304" t="str">
        <f t="array" ref="E233">IFERROR(INDEX('計測入力シート（ここのみ編集可）'!$BC$17:$BC$116,MATCH(A225&amp;B225,'計測入力シート（ここのみ編集可）'!$BO$17:$BO$116,0)),"")</f>
        <v/>
      </c>
      <c r="F233" s="305"/>
      <c r="G233" s="306" t="s">
        <v>25</v>
      </c>
      <c r="H233" s="307" t="str">
        <f t="array" ref="H233">IFERROR(INDEX('計測入力シート（ここのみ編集可）'!$BD$17:$BD$116,MATCH(A225&amp;B225,'計測入力シート（ここのみ編集可）'!$BO$17:$BO$116,0)),"")</f>
        <v/>
      </c>
    </row>
    <row r="234" ht="20.25" customHeight="1">
      <c r="D234" s="308"/>
    </row>
    <row r="235" ht="27.0" customHeight="1">
      <c r="A235" s="52" t="str">
        <f>A225</f>
        <v>B</v>
      </c>
      <c r="B235" s="52">
        <f>B225+1</f>
        <v>24</v>
      </c>
      <c r="D235" s="271" t="s">
        <v>80</v>
      </c>
      <c r="E235" s="272" t="s">
        <v>81</v>
      </c>
      <c r="F235" s="272" t="s">
        <v>82</v>
      </c>
      <c r="G235" s="273" t="s">
        <v>49</v>
      </c>
      <c r="H235" s="274"/>
    </row>
    <row r="236" ht="27.0" customHeight="1">
      <c r="A236" s="86"/>
      <c r="B236" s="86"/>
      <c r="D236" s="275" t="str">
        <f t="array" ref="D236">IFERROR(INDEX('計測入力シート（ここのみ編集可）'!$BN$17:$BN$116,MATCH(A235&amp;B235,'計測入力シート（ここのみ編集可）'!$BO$17:$BO$116,0)),"")</f>
        <v/>
      </c>
      <c r="E236" s="276" t="str">
        <f t="array" ref="E236">IFERROR(INDEX('計測入力シート（ここのみ編集可）'!$BP$17:$BP$116,MATCH(A235&amp;B235,'計測入力シート（ここのみ編集可）'!$BO$17:$BO$116,0)),"")</f>
        <v/>
      </c>
      <c r="F236" s="277" t="str">
        <f t="array" ref="F236">IFERROR(INDEX('計測入力シート（ここのみ編集可）'!$BR$17:$BR$116,MATCH(A235&amp;B235,'計測入力シート（ここのみ編集可）'!$BO$17:$BO$116,0)),"")</f>
        <v/>
      </c>
      <c r="G236" s="278" t="str">
        <f t="array" ref="G236">IFERROR(INDEX('計測入力シート（ここのみ編集可）'!$BL$17:$BL$116,MATCH(A235&amp;B235,'計測入力シート（ここのみ編集可）'!$BO$17:$BO$116,0)),"")</f>
        <v/>
      </c>
      <c r="H236" s="279"/>
    </row>
    <row r="237" ht="27.0" customHeight="1">
      <c r="D237" s="280" t="s">
        <v>2</v>
      </c>
      <c r="E237" s="281" t="str">
        <f t="array" ref="E237">IFERROR(INDEX('計測入力シート（ここのみ編集可）'!$C$17:$C$116,MATCH(A235&amp;B235,'計測入力シート（ここのみ編集可）'!$BO$17:$BO$116,0)),"")</f>
        <v/>
      </c>
      <c r="F237" s="282" t="s">
        <v>17</v>
      </c>
      <c r="G237" s="283" t="str">
        <f t="array" ref="G237">IFERROR(INDEX('計測入力シート（ここのみ編集可）'!$D$17:$D$116,MATCH(A235&amp;B235,'計測入力シート（ここのみ編集可）'!$BO$17:$BO$116,0)),"")</f>
        <v/>
      </c>
      <c r="H237" s="284"/>
    </row>
    <row r="238" ht="27.0" customHeight="1">
      <c r="D238" s="285" t="s">
        <v>1</v>
      </c>
      <c r="E238" s="286" t="str">
        <f t="array" ref="E238">IFERROR(INDEX('計測入力シート（ここのみ編集可）'!$B$17:$B$116,MATCH(A235&amp;B235,'計測入力シート（ここのみ編集可）'!$BO$17:$BO$116,0)),"")</f>
        <v/>
      </c>
      <c r="F238" s="287" t="s">
        <v>18</v>
      </c>
      <c r="G238" s="288" t="str">
        <f t="array" ref="G238">IFERROR(INDEX('計測入力シート（ここのみ編集可）'!$E$17:$E$116,MATCH(A235&amp;B235,'計測入力シート（ここのみ編集可）'!$BO$17:$BO$116,0)),"")</f>
        <v/>
      </c>
      <c r="H238" s="289"/>
    </row>
    <row r="239" ht="24.75" customHeight="1">
      <c r="D239" s="290" t="s">
        <v>92</v>
      </c>
      <c r="E239" s="291" t="str">
        <f t="array" ref="E239">IFERROR(INDEX(#REF!,MATCH(A235&amp;B235,'計測入力シート（ここのみ編集可）'!$BO$17:$BO$116,0)),"")</f>
        <v/>
      </c>
      <c r="H239" s="232"/>
    </row>
    <row r="240" ht="52.5" customHeight="1">
      <c r="D240" s="292" t="s">
        <v>100</v>
      </c>
      <c r="E240" s="293" t="str">
        <f t="array" ref="E240">IFERROR(INDEX(#REF!,MATCH(A235&amp;B235,'計測入力シート（ここのみ編集可）'!$BO$17:$BO$116,0)),"")</f>
        <v/>
      </c>
      <c r="F240" s="95"/>
      <c r="G240" s="95"/>
      <c r="H240" s="96"/>
    </row>
    <row r="241" ht="20.25" customHeight="1">
      <c r="D241" s="294" t="s">
        <v>39</v>
      </c>
      <c r="E241" s="295" t="str">
        <f t="array" ref="E241">IFERROR(INDEX('計測入力シート（ここのみ編集可）'!$AW$17:$AW$116,MATCH(A235&amp;B235,'計測入力シート（ここのみ編集可）'!$BO$17:$BO$116,0)),"")</f>
        <v/>
      </c>
      <c r="F241" s="296"/>
      <c r="G241" s="297" t="s">
        <v>110</v>
      </c>
      <c r="H241" s="298" t="str">
        <f t="array" ref="H241">IFERROR(INDEX('計測入力シート（ここのみ編集可）'!$AY$17:$AY$116,MATCH(A235&amp;B235,'計測入力シート（ここのみ編集可）'!$BO$17:$BO$116,0)),"")</f>
        <v/>
      </c>
    </row>
    <row r="242" ht="20.25" customHeight="1">
      <c r="D242" s="299" t="s">
        <v>42</v>
      </c>
      <c r="E242" s="300" t="str">
        <f t="array" ref="E242">IFERROR(INDEX('計測入力シート（ここのみ編集可）'!$AZ$17:$AZ$116,MATCH(A235&amp;B235,'計測入力シート（ここのみ編集可）'!$BO$17:$BO$116,0)),"")</f>
        <v/>
      </c>
      <c r="F242" s="116"/>
      <c r="G242" s="301" t="s">
        <v>111</v>
      </c>
      <c r="H242" s="302" t="str">
        <f t="array" ref="H242">IFERROR(INDEX('計測入力シート（ここのみ編集可）'!$BB$17:$BB$116,MATCH(A235&amp;B235,'計測入力シート（ここのみ編集可）'!$BO$17:$BO$116,0)),"")</f>
        <v/>
      </c>
    </row>
    <row r="243" ht="20.25" customHeight="1">
      <c r="D243" s="303" t="s">
        <v>112</v>
      </c>
      <c r="E243" s="304" t="str">
        <f t="array" ref="E243">IFERROR(INDEX('計測入力シート（ここのみ編集可）'!$BC$17:$BC$116,MATCH(A235&amp;B235,'計測入力シート（ここのみ編集可）'!$BO$17:$BO$116,0)),"")</f>
        <v/>
      </c>
      <c r="F243" s="305"/>
      <c r="G243" s="306" t="s">
        <v>25</v>
      </c>
      <c r="H243" s="307" t="str">
        <f t="array" ref="H243">IFERROR(INDEX('計測入力シート（ここのみ編集可）'!$BD$17:$BD$116,MATCH(A235&amp;B235,'計測入力シート（ここのみ編集可）'!$BO$17:$BO$116,0)),"")</f>
        <v/>
      </c>
    </row>
    <row r="244" ht="20.25" customHeight="1">
      <c r="D244" s="308"/>
    </row>
    <row r="245" ht="27.0" customHeight="1">
      <c r="A245" s="52" t="str">
        <f>A235</f>
        <v>B</v>
      </c>
      <c r="B245" s="52">
        <f>B235+1</f>
        <v>25</v>
      </c>
      <c r="D245" s="271" t="s">
        <v>80</v>
      </c>
      <c r="E245" s="272" t="s">
        <v>81</v>
      </c>
      <c r="F245" s="272" t="s">
        <v>82</v>
      </c>
      <c r="G245" s="273" t="s">
        <v>49</v>
      </c>
      <c r="H245" s="274"/>
    </row>
    <row r="246" ht="27.0" customHeight="1">
      <c r="A246" s="86"/>
      <c r="B246" s="86"/>
      <c r="D246" s="275" t="str">
        <f t="array" ref="D246">IFERROR(INDEX('計測入力シート（ここのみ編集可）'!$BN$17:$BN$116,MATCH(A245&amp;B245,'計測入力シート（ここのみ編集可）'!$BO$17:$BO$116,0)),"")</f>
        <v/>
      </c>
      <c r="E246" s="276" t="str">
        <f t="array" ref="E246">IFERROR(INDEX('計測入力シート（ここのみ編集可）'!$BP$17:$BP$116,MATCH(A245&amp;B245,'計測入力シート（ここのみ編集可）'!$BO$17:$BO$116,0)),"")</f>
        <v/>
      </c>
      <c r="F246" s="277" t="str">
        <f t="array" ref="F246">IFERROR(INDEX('計測入力シート（ここのみ編集可）'!$BR$17:$BR$116,MATCH(A245&amp;B245,'計測入力シート（ここのみ編集可）'!$BO$17:$BO$116,0)),"")</f>
        <v/>
      </c>
      <c r="G246" s="278" t="str">
        <f t="array" ref="G246">IFERROR(INDEX('計測入力シート（ここのみ編集可）'!$BL$17:$BL$116,MATCH(A245&amp;B245,'計測入力シート（ここのみ編集可）'!$BO$17:$BO$116,0)),"")</f>
        <v/>
      </c>
      <c r="H246" s="279"/>
    </row>
    <row r="247" ht="27.0" customHeight="1">
      <c r="D247" s="280" t="s">
        <v>2</v>
      </c>
      <c r="E247" s="281" t="str">
        <f t="array" ref="E247">IFERROR(INDEX('計測入力シート（ここのみ編集可）'!$C$17:$C$116,MATCH(A245&amp;B245,'計測入力シート（ここのみ編集可）'!$BO$17:$BO$116,0)),"")</f>
        <v/>
      </c>
      <c r="F247" s="282" t="s">
        <v>17</v>
      </c>
      <c r="G247" s="283" t="str">
        <f t="array" ref="G247">IFERROR(INDEX('計測入力シート（ここのみ編集可）'!$D$17:$D$116,MATCH(A245&amp;B245,'計測入力シート（ここのみ編集可）'!$BO$17:$BO$116,0)),"")</f>
        <v/>
      </c>
      <c r="H247" s="284"/>
    </row>
    <row r="248" ht="27.0" customHeight="1">
      <c r="D248" s="285" t="s">
        <v>1</v>
      </c>
      <c r="E248" s="286" t="str">
        <f t="array" ref="E248">IFERROR(INDEX('計測入力シート（ここのみ編集可）'!$B$17:$B$116,MATCH(A245&amp;B245,'計測入力シート（ここのみ編集可）'!$BO$17:$BO$116,0)),"")</f>
        <v/>
      </c>
      <c r="F248" s="287" t="s">
        <v>18</v>
      </c>
      <c r="G248" s="288" t="str">
        <f t="array" ref="G248">IFERROR(INDEX('計測入力シート（ここのみ編集可）'!$E$17:$E$116,MATCH(A245&amp;B245,'計測入力シート（ここのみ編集可）'!$BO$17:$BO$116,0)),"")</f>
        <v/>
      </c>
      <c r="H248" s="289"/>
    </row>
    <row r="249" ht="24.75" customHeight="1">
      <c r="D249" s="290" t="s">
        <v>92</v>
      </c>
      <c r="E249" s="291" t="str">
        <f t="array" ref="E249">IFERROR(INDEX(#REF!,MATCH(A245&amp;B245,'計測入力シート（ここのみ編集可）'!$BO$17:$BO$116,0)),"")</f>
        <v/>
      </c>
      <c r="H249" s="232"/>
    </row>
    <row r="250" ht="52.5" customHeight="1">
      <c r="D250" s="292" t="s">
        <v>100</v>
      </c>
      <c r="E250" s="293" t="str">
        <f t="array" ref="E250">IFERROR(INDEX(#REF!,MATCH(A245&amp;B245,'計測入力シート（ここのみ編集可）'!$BO$17:$BO$116,0)),"")</f>
        <v/>
      </c>
      <c r="F250" s="95"/>
      <c r="G250" s="95"/>
      <c r="H250" s="96"/>
    </row>
    <row r="251" ht="20.25" customHeight="1">
      <c r="D251" s="294" t="s">
        <v>39</v>
      </c>
      <c r="E251" s="295" t="str">
        <f t="array" ref="E251">IFERROR(INDEX('計測入力シート（ここのみ編集可）'!$AW$17:$AW$116,MATCH(A245&amp;B245,'計測入力シート（ここのみ編集可）'!$BO$17:$BO$116,0)),"")</f>
        <v/>
      </c>
      <c r="F251" s="296"/>
      <c r="G251" s="297" t="s">
        <v>110</v>
      </c>
      <c r="H251" s="298" t="str">
        <f t="array" ref="H251">IFERROR(INDEX('計測入力シート（ここのみ編集可）'!$AY$17:$AY$116,MATCH(A245&amp;B245,'計測入力シート（ここのみ編集可）'!$BO$17:$BO$116,0)),"")</f>
        <v/>
      </c>
    </row>
    <row r="252" ht="20.25" customHeight="1">
      <c r="D252" s="299" t="s">
        <v>42</v>
      </c>
      <c r="E252" s="300" t="str">
        <f t="array" ref="E252">IFERROR(INDEX('計測入力シート（ここのみ編集可）'!$AZ$17:$AZ$116,MATCH(A245&amp;B245,'計測入力シート（ここのみ編集可）'!$BO$17:$BO$116,0)),"")</f>
        <v/>
      </c>
      <c r="F252" s="116"/>
      <c r="G252" s="301" t="s">
        <v>111</v>
      </c>
      <c r="H252" s="302" t="str">
        <f t="array" ref="H252">IFERROR(INDEX('計測入力シート（ここのみ編集可）'!$BB$17:$BB$116,MATCH(A245&amp;B245,'計測入力シート（ここのみ編集可）'!$BO$17:$BO$116,0)),"")</f>
        <v/>
      </c>
    </row>
    <row r="253" ht="20.25" customHeight="1">
      <c r="D253" s="303" t="s">
        <v>112</v>
      </c>
      <c r="E253" s="304" t="str">
        <f t="array" ref="E253">IFERROR(INDEX('計測入力シート（ここのみ編集可）'!$BC$17:$BC$116,MATCH(A245&amp;B245,'計測入力シート（ここのみ編集可）'!$BO$17:$BO$116,0)),"")</f>
        <v/>
      </c>
      <c r="F253" s="305"/>
      <c r="G253" s="306" t="s">
        <v>25</v>
      </c>
      <c r="H253" s="307" t="str">
        <f t="array" ref="H253">IFERROR(INDEX('計測入力シート（ここのみ編集可）'!$BD$17:$BD$116,MATCH(A245&amp;B245,'計測入力シート（ここのみ編集可）'!$BO$17:$BO$116,0)),"")</f>
        <v/>
      </c>
    </row>
    <row r="254" ht="20.25" customHeight="1">
      <c r="D254" s="308"/>
    </row>
    <row r="255" ht="27.0" customHeight="1">
      <c r="A255" s="52" t="str">
        <f>A245</f>
        <v>B</v>
      </c>
      <c r="B255" s="52">
        <f>B245+1</f>
        <v>26</v>
      </c>
      <c r="D255" s="271" t="s">
        <v>80</v>
      </c>
      <c r="E255" s="272" t="s">
        <v>81</v>
      </c>
      <c r="F255" s="272" t="s">
        <v>82</v>
      </c>
      <c r="G255" s="273" t="s">
        <v>49</v>
      </c>
      <c r="H255" s="274"/>
    </row>
    <row r="256" ht="27.0" customHeight="1">
      <c r="A256" s="86"/>
      <c r="B256" s="86"/>
      <c r="D256" s="275" t="str">
        <f t="array" ref="D256">IFERROR(INDEX('計測入力シート（ここのみ編集可）'!$BN$17:$BN$116,MATCH(A255&amp;B255,'計測入力シート（ここのみ編集可）'!$BO$17:$BO$116,0)),"")</f>
        <v/>
      </c>
      <c r="E256" s="276" t="str">
        <f t="array" ref="E256">IFERROR(INDEX('計測入力シート（ここのみ編集可）'!$BP$17:$BP$116,MATCH(A255&amp;B255,'計測入力シート（ここのみ編集可）'!$BO$17:$BO$116,0)),"")</f>
        <v/>
      </c>
      <c r="F256" s="277" t="str">
        <f t="array" ref="F256">IFERROR(INDEX('計測入力シート（ここのみ編集可）'!$BR$17:$BR$116,MATCH(A255&amp;B255,'計測入力シート（ここのみ編集可）'!$BO$17:$BO$116,0)),"")</f>
        <v/>
      </c>
      <c r="G256" s="278" t="str">
        <f t="array" ref="G256">IFERROR(INDEX('計測入力シート（ここのみ編集可）'!$BL$17:$BL$116,MATCH(A255&amp;B255,'計測入力シート（ここのみ編集可）'!$BO$17:$BO$116,0)),"")</f>
        <v/>
      </c>
      <c r="H256" s="279"/>
    </row>
    <row r="257" ht="27.0" customHeight="1">
      <c r="D257" s="280" t="s">
        <v>2</v>
      </c>
      <c r="E257" s="281" t="str">
        <f t="array" ref="E257">IFERROR(INDEX('計測入力シート（ここのみ編集可）'!$C$17:$C$116,MATCH(A255&amp;B255,'計測入力シート（ここのみ編集可）'!$BO$17:$BO$116,0)),"")</f>
        <v/>
      </c>
      <c r="F257" s="282" t="s">
        <v>17</v>
      </c>
      <c r="G257" s="283" t="str">
        <f t="array" ref="G257">IFERROR(INDEX('計測入力シート（ここのみ編集可）'!$D$17:$D$116,MATCH(A255&amp;B255,'計測入力シート（ここのみ編集可）'!$BO$17:$BO$116,0)),"")</f>
        <v/>
      </c>
      <c r="H257" s="284"/>
    </row>
    <row r="258" ht="27.0" customHeight="1">
      <c r="D258" s="285" t="s">
        <v>1</v>
      </c>
      <c r="E258" s="286" t="str">
        <f t="array" ref="E258">IFERROR(INDEX('計測入力シート（ここのみ編集可）'!$B$17:$B$116,MATCH(A255&amp;B255,'計測入力シート（ここのみ編集可）'!$BO$17:$BO$116,0)),"")</f>
        <v/>
      </c>
      <c r="F258" s="287" t="s">
        <v>18</v>
      </c>
      <c r="G258" s="288" t="str">
        <f t="array" ref="G258">IFERROR(INDEX('計測入力シート（ここのみ編集可）'!$E$17:$E$116,MATCH(A255&amp;B255,'計測入力シート（ここのみ編集可）'!$BO$17:$BO$116,0)),"")</f>
        <v/>
      </c>
      <c r="H258" s="289"/>
    </row>
    <row r="259" ht="24.75" customHeight="1">
      <c r="D259" s="290" t="s">
        <v>92</v>
      </c>
      <c r="E259" s="291" t="str">
        <f t="array" ref="E259">IFERROR(INDEX(#REF!,MATCH(A255&amp;B255,'計測入力シート（ここのみ編集可）'!$BO$17:$BO$116,0)),"")</f>
        <v/>
      </c>
      <c r="H259" s="232"/>
    </row>
    <row r="260" ht="52.5" customHeight="1">
      <c r="D260" s="292" t="s">
        <v>100</v>
      </c>
      <c r="E260" s="293" t="str">
        <f t="array" ref="E260">IFERROR(INDEX(#REF!,MATCH(A255&amp;B255,'計測入力シート（ここのみ編集可）'!$BO$17:$BO$116,0)),"")</f>
        <v/>
      </c>
      <c r="F260" s="95"/>
      <c r="G260" s="95"/>
      <c r="H260" s="96"/>
    </row>
    <row r="261" ht="20.25" customHeight="1">
      <c r="D261" s="294" t="s">
        <v>39</v>
      </c>
      <c r="E261" s="295" t="str">
        <f t="array" ref="E261">IFERROR(INDEX('計測入力シート（ここのみ編集可）'!$AW$17:$AW$116,MATCH(A255&amp;B255,'計測入力シート（ここのみ編集可）'!$BO$17:$BO$116,0)),"")</f>
        <v/>
      </c>
      <c r="F261" s="296"/>
      <c r="G261" s="297" t="s">
        <v>110</v>
      </c>
      <c r="H261" s="298" t="str">
        <f t="array" ref="H261">IFERROR(INDEX('計測入力シート（ここのみ編集可）'!$AY$17:$AY$116,MATCH(A255&amp;B255,'計測入力シート（ここのみ編集可）'!$BO$17:$BO$116,0)),"")</f>
        <v/>
      </c>
    </row>
    <row r="262" ht="20.25" customHeight="1">
      <c r="D262" s="299" t="s">
        <v>42</v>
      </c>
      <c r="E262" s="300" t="str">
        <f t="array" ref="E262">IFERROR(INDEX('計測入力シート（ここのみ編集可）'!$AZ$17:$AZ$116,MATCH(A255&amp;B255,'計測入力シート（ここのみ編集可）'!$BO$17:$BO$116,0)),"")</f>
        <v/>
      </c>
      <c r="F262" s="116"/>
      <c r="G262" s="301" t="s">
        <v>111</v>
      </c>
      <c r="H262" s="302" t="str">
        <f t="array" ref="H262">IFERROR(INDEX('計測入力シート（ここのみ編集可）'!$BB$17:$BB$116,MATCH(A255&amp;B255,'計測入力シート（ここのみ編集可）'!$BO$17:$BO$116,0)),"")</f>
        <v/>
      </c>
    </row>
    <row r="263" ht="20.25" customHeight="1">
      <c r="D263" s="303" t="s">
        <v>112</v>
      </c>
      <c r="E263" s="304" t="str">
        <f t="array" ref="E263">IFERROR(INDEX('計測入力シート（ここのみ編集可）'!$BC$17:$BC$116,MATCH(A255&amp;B255,'計測入力シート（ここのみ編集可）'!$BO$17:$BO$116,0)),"")</f>
        <v/>
      </c>
      <c r="F263" s="305"/>
      <c r="G263" s="306" t="s">
        <v>25</v>
      </c>
      <c r="H263" s="307" t="str">
        <f t="array" ref="H263">IFERROR(INDEX('計測入力シート（ここのみ編集可）'!$BD$17:$BD$116,MATCH(A255&amp;B255,'計測入力シート（ここのみ編集可）'!$BO$17:$BO$116,0)),"")</f>
        <v/>
      </c>
    </row>
    <row r="264" ht="20.25" customHeight="1">
      <c r="D264" s="308"/>
    </row>
    <row r="265" ht="27.0" customHeight="1">
      <c r="A265" s="52" t="str">
        <f>A255</f>
        <v>B</v>
      </c>
      <c r="B265" s="52">
        <f>B255+1</f>
        <v>27</v>
      </c>
      <c r="D265" s="271" t="s">
        <v>80</v>
      </c>
      <c r="E265" s="272" t="s">
        <v>81</v>
      </c>
      <c r="F265" s="272" t="s">
        <v>82</v>
      </c>
      <c r="G265" s="273" t="s">
        <v>49</v>
      </c>
      <c r="H265" s="274"/>
    </row>
    <row r="266" ht="27.0" customHeight="1">
      <c r="A266" s="86"/>
      <c r="B266" s="86"/>
      <c r="D266" s="275" t="str">
        <f t="array" ref="D266">IFERROR(INDEX('計測入力シート（ここのみ編集可）'!$BN$17:$BN$116,MATCH(A265&amp;B265,'計測入力シート（ここのみ編集可）'!$BO$17:$BO$116,0)),"")</f>
        <v/>
      </c>
      <c r="E266" s="276" t="str">
        <f t="array" ref="E266">IFERROR(INDEX('計測入力シート（ここのみ編集可）'!$BP$17:$BP$116,MATCH(A265&amp;B265,'計測入力シート（ここのみ編集可）'!$BO$17:$BO$116,0)),"")</f>
        <v/>
      </c>
      <c r="F266" s="277" t="str">
        <f t="array" ref="F266">IFERROR(INDEX('計測入力シート（ここのみ編集可）'!$BR$17:$BR$116,MATCH(A265&amp;B265,'計測入力シート（ここのみ編集可）'!$BO$17:$BO$116,0)),"")</f>
        <v/>
      </c>
      <c r="G266" s="278" t="str">
        <f t="array" ref="G266">IFERROR(INDEX('計測入力シート（ここのみ編集可）'!$BL$17:$BL$116,MATCH(A265&amp;B265,'計測入力シート（ここのみ編集可）'!$BO$17:$BO$116,0)),"")</f>
        <v/>
      </c>
      <c r="H266" s="279"/>
    </row>
    <row r="267" ht="27.0" customHeight="1">
      <c r="D267" s="280" t="s">
        <v>2</v>
      </c>
      <c r="E267" s="281" t="str">
        <f t="array" ref="E267">IFERROR(INDEX('計測入力シート（ここのみ編集可）'!$C$17:$C$116,MATCH(A265&amp;B265,'計測入力シート（ここのみ編集可）'!$BO$17:$BO$116,0)),"")</f>
        <v/>
      </c>
      <c r="F267" s="282" t="s">
        <v>17</v>
      </c>
      <c r="G267" s="283" t="str">
        <f t="array" ref="G267">IFERROR(INDEX('計測入力シート（ここのみ編集可）'!$D$17:$D$116,MATCH(A265&amp;B265,'計測入力シート（ここのみ編集可）'!$BO$17:$BO$116,0)),"")</f>
        <v/>
      </c>
      <c r="H267" s="284"/>
    </row>
    <row r="268" ht="27.0" customHeight="1">
      <c r="D268" s="285" t="s">
        <v>1</v>
      </c>
      <c r="E268" s="286" t="str">
        <f t="array" ref="E268">IFERROR(INDEX('計測入力シート（ここのみ編集可）'!$B$17:$B$116,MATCH(A265&amp;B265,'計測入力シート（ここのみ編集可）'!$BO$17:$BO$116,0)),"")</f>
        <v/>
      </c>
      <c r="F268" s="287" t="s">
        <v>18</v>
      </c>
      <c r="G268" s="288" t="str">
        <f t="array" ref="G268">IFERROR(INDEX('計測入力シート（ここのみ編集可）'!$E$17:$E$116,MATCH(A265&amp;B265,'計測入力シート（ここのみ編集可）'!$BO$17:$BO$116,0)),"")</f>
        <v/>
      </c>
      <c r="H268" s="289"/>
    </row>
    <row r="269" ht="24.75" customHeight="1">
      <c r="D269" s="290" t="s">
        <v>92</v>
      </c>
      <c r="E269" s="291" t="str">
        <f t="array" ref="E269">IFERROR(INDEX(#REF!,MATCH(A265&amp;B265,'計測入力シート（ここのみ編集可）'!$BO$17:$BO$116,0)),"")</f>
        <v/>
      </c>
      <c r="H269" s="232"/>
    </row>
    <row r="270" ht="52.5" customHeight="1">
      <c r="D270" s="292" t="s">
        <v>100</v>
      </c>
      <c r="E270" s="293" t="str">
        <f t="array" ref="E270">IFERROR(INDEX(#REF!,MATCH(A265&amp;B265,'計測入力シート（ここのみ編集可）'!$BO$17:$BO$116,0)),"")</f>
        <v/>
      </c>
      <c r="F270" s="95"/>
      <c r="G270" s="95"/>
      <c r="H270" s="96"/>
    </row>
    <row r="271" ht="20.25" customHeight="1">
      <c r="D271" s="294" t="s">
        <v>39</v>
      </c>
      <c r="E271" s="295" t="str">
        <f t="array" ref="E271">IFERROR(INDEX('計測入力シート（ここのみ編集可）'!$AW$17:$AW$116,MATCH(A265&amp;B265,'計測入力シート（ここのみ編集可）'!$BO$17:$BO$116,0)),"")</f>
        <v/>
      </c>
      <c r="F271" s="296"/>
      <c r="G271" s="297" t="s">
        <v>110</v>
      </c>
      <c r="H271" s="298" t="str">
        <f t="array" ref="H271">IFERROR(INDEX('計測入力シート（ここのみ編集可）'!$AY$17:$AY$116,MATCH(A265&amp;B265,'計測入力シート（ここのみ編集可）'!$BO$17:$BO$116,0)),"")</f>
        <v/>
      </c>
    </row>
    <row r="272" ht="20.25" customHeight="1">
      <c r="D272" s="299" t="s">
        <v>42</v>
      </c>
      <c r="E272" s="300" t="str">
        <f t="array" ref="E272">IFERROR(INDEX('計測入力シート（ここのみ編集可）'!$AZ$17:$AZ$116,MATCH(A265&amp;B265,'計測入力シート（ここのみ編集可）'!$BO$17:$BO$116,0)),"")</f>
        <v/>
      </c>
      <c r="F272" s="116"/>
      <c r="G272" s="301" t="s">
        <v>111</v>
      </c>
      <c r="H272" s="302" t="str">
        <f t="array" ref="H272">IFERROR(INDEX('計測入力シート（ここのみ編集可）'!$BB$17:$BB$116,MATCH(A265&amp;B265,'計測入力シート（ここのみ編集可）'!$BO$17:$BO$116,0)),"")</f>
        <v/>
      </c>
    </row>
    <row r="273" ht="20.25" customHeight="1">
      <c r="D273" s="303" t="s">
        <v>112</v>
      </c>
      <c r="E273" s="304" t="str">
        <f t="array" ref="E273">IFERROR(INDEX('計測入力シート（ここのみ編集可）'!$BC$17:$BC$116,MATCH(A265&amp;B265,'計測入力シート（ここのみ編集可）'!$BO$17:$BO$116,0)),"")</f>
        <v/>
      </c>
      <c r="F273" s="305"/>
      <c r="G273" s="306" t="s">
        <v>25</v>
      </c>
      <c r="H273" s="307" t="str">
        <f t="array" ref="H273">IFERROR(INDEX('計測入力シート（ここのみ編集可）'!$BD$17:$BD$116,MATCH(A265&amp;B265,'計測入力シート（ここのみ編集可）'!$BO$17:$BO$116,0)),"")</f>
        <v/>
      </c>
    </row>
    <row r="274" ht="20.25" customHeight="1">
      <c r="D274" s="308"/>
    </row>
    <row r="275" ht="27.0" customHeight="1">
      <c r="A275" s="52" t="str">
        <f>A265</f>
        <v>B</v>
      </c>
      <c r="B275" s="52">
        <f>B265+1</f>
        <v>28</v>
      </c>
      <c r="D275" s="271" t="s">
        <v>80</v>
      </c>
      <c r="E275" s="272" t="s">
        <v>81</v>
      </c>
      <c r="F275" s="272" t="s">
        <v>82</v>
      </c>
      <c r="G275" s="273" t="s">
        <v>49</v>
      </c>
      <c r="H275" s="274"/>
    </row>
    <row r="276" ht="27.0" customHeight="1">
      <c r="A276" s="86"/>
      <c r="B276" s="86"/>
      <c r="D276" s="275" t="str">
        <f t="array" ref="D276">IFERROR(INDEX('計測入力シート（ここのみ編集可）'!$BN$17:$BN$116,MATCH(A275&amp;B275,'計測入力シート（ここのみ編集可）'!$BO$17:$BO$116,0)),"")</f>
        <v/>
      </c>
      <c r="E276" s="276" t="str">
        <f t="array" ref="E276">IFERROR(INDEX('計測入力シート（ここのみ編集可）'!$BP$17:$BP$116,MATCH(A275&amp;B275,'計測入力シート（ここのみ編集可）'!$BO$17:$BO$116,0)),"")</f>
        <v/>
      </c>
      <c r="F276" s="277" t="str">
        <f t="array" ref="F276">IFERROR(INDEX('計測入力シート（ここのみ編集可）'!$BR$17:$BR$116,MATCH(A275&amp;B275,'計測入力シート（ここのみ編集可）'!$BO$17:$BO$116,0)),"")</f>
        <v/>
      </c>
      <c r="G276" s="278" t="str">
        <f t="array" ref="G276">IFERROR(INDEX('計測入力シート（ここのみ編集可）'!$BL$17:$BL$116,MATCH(A275&amp;B275,'計測入力シート（ここのみ編集可）'!$BO$17:$BO$116,0)),"")</f>
        <v/>
      </c>
      <c r="H276" s="279"/>
    </row>
    <row r="277" ht="27.0" customHeight="1">
      <c r="D277" s="280" t="s">
        <v>2</v>
      </c>
      <c r="E277" s="281" t="str">
        <f t="array" ref="E277">IFERROR(INDEX('計測入力シート（ここのみ編集可）'!$C$17:$C$116,MATCH(A275&amp;B275,'計測入力シート（ここのみ編集可）'!$BO$17:$BO$116,0)),"")</f>
        <v/>
      </c>
      <c r="F277" s="282" t="s">
        <v>17</v>
      </c>
      <c r="G277" s="283" t="str">
        <f t="array" ref="G277">IFERROR(INDEX('計測入力シート（ここのみ編集可）'!$D$17:$D$116,MATCH(A275&amp;B275,'計測入力シート（ここのみ編集可）'!$BO$17:$BO$116,0)),"")</f>
        <v/>
      </c>
      <c r="H277" s="284"/>
    </row>
    <row r="278" ht="27.0" customHeight="1">
      <c r="D278" s="285" t="s">
        <v>1</v>
      </c>
      <c r="E278" s="286" t="str">
        <f t="array" ref="E278">IFERROR(INDEX('計測入力シート（ここのみ編集可）'!$B$17:$B$116,MATCH(A275&amp;B275,'計測入力シート（ここのみ編集可）'!$BO$17:$BO$116,0)),"")</f>
        <v/>
      </c>
      <c r="F278" s="287" t="s">
        <v>18</v>
      </c>
      <c r="G278" s="288" t="str">
        <f t="array" ref="G278">IFERROR(INDEX('計測入力シート（ここのみ編集可）'!$E$17:$E$116,MATCH(A275&amp;B275,'計測入力シート（ここのみ編集可）'!$BO$17:$BO$116,0)),"")</f>
        <v/>
      </c>
      <c r="H278" s="289"/>
    </row>
    <row r="279" ht="24.75" customHeight="1">
      <c r="D279" s="290" t="s">
        <v>92</v>
      </c>
      <c r="E279" s="291" t="str">
        <f t="array" ref="E279">IFERROR(INDEX(#REF!,MATCH(A275&amp;B275,'計測入力シート（ここのみ編集可）'!$BO$17:$BO$116,0)),"")</f>
        <v/>
      </c>
      <c r="H279" s="232"/>
    </row>
    <row r="280" ht="52.5" customHeight="1">
      <c r="D280" s="292" t="s">
        <v>100</v>
      </c>
      <c r="E280" s="293" t="str">
        <f t="array" ref="E280">IFERROR(INDEX(#REF!,MATCH(A275&amp;B275,'計測入力シート（ここのみ編集可）'!$BO$17:$BO$116,0)),"")</f>
        <v/>
      </c>
      <c r="F280" s="95"/>
      <c r="G280" s="95"/>
      <c r="H280" s="96"/>
    </row>
    <row r="281" ht="20.25" customHeight="1">
      <c r="D281" s="294" t="s">
        <v>39</v>
      </c>
      <c r="E281" s="295" t="str">
        <f t="array" ref="E281">IFERROR(INDEX('計測入力シート（ここのみ編集可）'!$AW$17:$AW$116,MATCH(A275&amp;B275,'計測入力シート（ここのみ編集可）'!$BO$17:$BO$116,0)),"")</f>
        <v/>
      </c>
      <c r="F281" s="296"/>
      <c r="G281" s="297" t="s">
        <v>110</v>
      </c>
      <c r="H281" s="298" t="str">
        <f t="array" ref="H281">IFERROR(INDEX('計測入力シート（ここのみ編集可）'!$AY$17:$AY$116,MATCH(A275&amp;B275,'計測入力シート（ここのみ編集可）'!$BO$17:$BO$116,0)),"")</f>
        <v/>
      </c>
    </row>
    <row r="282" ht="20.25" customHeight="1">
      <c r="D282" s="299" t="s">
        <v>42</v>
      </c>
      <c r="E282" s="300" t="str">
        <f t="array" ref="E282">IFERROR(INDEX('計測入力シート（ここのみ編集可）'!$AZ$17:$AZ$116,MATCH(A275&amp;B275,'計測入力シート（ここのみ編集可）'!$BO$17:$BO$116,0)),"")</f>
        <v/>
      </c>
      <c r="F282" s="116"/>
      <c r="G282" s="301" t="s">
        <v>111</v>
      </c>
      <c r="H282" s="302" t="str">
        <f t="array" ref="H282">IFERROR(INDEX('計測入力シート（ここのみ編集可）'!$BB$17:$BB$116,MATCH(A275&amp;B275,'計測入力シート（ここのみ編集可）'!$BO$17:$BO$116,0)),"")</f>
        <v/>
      </c>
    </row>
    <row r="283" ht="20.25" customHeight="1">
      <c r="D283" s="303" t="s">
        <v>112</v>
      </c>
      <c r="E283" s="304" t="str">
        <f t="array" ref="E283">IFERROR(INDEX('計測入力シート（ここのみ編集可）'!$BC$17:$BC$116,MATCH(A275&amp;B275,'計測入力シート（ここのみ編集可）'!$BO$17:$BO$116,0)),"")</f>
        <v/>
      </c>
      <c r="F283" s="305"/>
      <c r="G283" s="306" t="s">
        <v>25</v>
      </c>
      <c r="H283" s="307" t="str">
        <f t="array" ref="H283">IFERROR(INDEX('計測入力シート（ここのみ編集可）'!$BD$17:$BD$116,MATCH(A275&amp;B275,'計測入力シート（ここのみ編集可）'!$BO$17:$BO$116,0)),"")</f>
        <v/>
      </c>
    </row>
    <row r="284" ht="20.25" customHeight="1">
      <c r="D284" s="308"/>
    </row>
    <row r="285" ht="27.0" customHeight="1">
      <c r="A285" s="52" t="str">
        <f>A275</f>
        <v>B</v>
      </c>
      <c r="B285" s="52">
        <f>B275+1</f>
        <v>29</v>
      </c>
      <c r="D285" s="271" t="s">
        <v>80</v>
      </c>
      <c r="E285" s="272" t="s">
        <v>81</v>
      </c>
      <c r="F285" s="272" t="s">
        <v>82</v>
      </c>
      <c r="G285" s="273" t="s">
        <v>49</v>
      </c>
      <c r="H285" s="274"/>
    </row>
    <row r="286" ht="27.0" customHeight="1">
      <c r="A286" s="86"/>
      <c r="B286" s="86"/>
      <c r="D286" s="275" t="str">
        <f t="array" ref="D286">IFERROR(INDEX('計測入力シート（ここのみ編集可）'!$BN$17:$BN$116,MATCH(A285&amp;B285,'計測入力シート（ここのみ編集可）'!$BO$17:$BO$116,0)),"")</f>
        <v/>
      </c>
      <c r="E286" s="276" t="str">
        <f t="array" ref="E286">IFERROR(INDEX('計測入力シート（ここのみ編集可）'!$BP$17:$BP$116,MATCH(A285&amp;B285,'計測入力シート（ここのみ編集可）'!$BO$17:$BO$116,0)),"")</f>
        <v/>
      </c>
      <c r="F286" s="277" t="str">
        <f t="array" ref="F286">IFERROR(INDEX('計測入力シート（ここのみ編集可）'!$BR$17:$BR$116,MATCH(A285&amp;B285,'計測入力シート（ここのみ編集可）'!$BO$17:$BO$116,0)),"")</f>
        <v/>
      </c>
      <c r="G286" s="278" t="str">
        <f t="array" ref="G286">IFERROR(INDEX('計測入力シート（ここのみ編集可）'!$BL$17:$BL$116,MATCH(A285&amp;B285,'計測入力シート（ここのみ編集可）'!$BO$17:$BO$116,0)),"")</f>
        <v/>
      </c>
      <c r="H286" s="279"/>
    </row>
    <row r="287" ht="27.0" customHeight="1">
      <c r="D287" s="280" t="s">
        <v>2</v>
      </c>
      <c r="E287" s="281" t="str">
        <f t="array" ref="E287">IFERROR(INDEX('計測入力シート（ここのみ編集可）'!$C$17:$C$116,MATCH(A285&amp;B285,'計測入力シート（ここのみ編集可）'!$BO$17:$BO$116,0)),"")</f>
        <v/>
      </c>
      <c r="F287" s="282" t="s">
        <v>17</v>
      </c>
      <c r="G287" s="283" t="str">
        <f t="array" ref="G287">IFERROR(INDEX('計測入力シート（ここのみ編集可）'!$D$17:$D$116,MATCH(A285&amp;B285,'計測入力シート（ここのみ編集可）'!$BO$17:$BO$116,0)),"")</f>
        <v/>
      </c>
      <c r="H287" s="284"/>
    </row>
    <row r="288" ht="27.0" customHeight="1">
      <c r="D288" s="285" t="s">
        <v>1</v>
      </c>
      <c r="E288" s="286" t="str">
        <f t="array" ref="E288">IFERROR(INDEX('計測入力シート（ここのみ編集可）'!$B$17:$B$116,MATCH(A285&amp;B285,'計測入力シート（ここのみ編集可）'!$BO$17:$BO$116,0)),"")</f>
        <v/>
      </c>
      <c r="F288" s="287" t="s">
        <v>18</v>
      </c>
      <c r="G288" s="288" t="str">
        <f t="array" ref="G288">IFERROR(INDEX('計測入力シート（ここのみ編集可）'!$E$17:$E$116,MATCH(A285&amp;B285,'計測入力シート（ここのみ編集可）'!$BO$17:$BO$116,0)),"")</f>
        <v/>
      </c>
      <c r="H288" s="289"/>
    </row>
    <row r="289" ht="24.75" customHeight="1">
      <c r="D289" s="290" t="s">
        <v>92</v>
      </c>
      <c r="E289" s="291" t="str">
        <f t="array" ref="E289">IFERROR(INDEX(#REF!,MATCH(A285&amp;B285,'計測入力シート（ここのみ編集可）'!$BO$17:$BO$116,0)),"")</f>
        <v/>
      </c>
      <c r="H289" s="232"/>
    </row>
    <row r="290" ht="52.5" customHeight="1">
      <c r="D290" s="292" t="s">
        <v>100</v>
      </c>
      <c r="E290" s="293" t="str">
        <f t="array" ref="E290">IFERROR(INDEX(#REF!,MATCH(A285&amp;B285,'計測入力シート（ここのみ編集可）'!$BO$17:$BO$116,0)),"")</f>
        <v/>
      </c>
      <c r="F290" s="95"/>
      <c r="G290" s="95"/>
      <c r="H290" s="96"/>
    </row>
    <row r="291" ht="20.25" customHeight="1">
      <c r="D291" s="294" t="s">
        <v>39</v>
      </c>
      <c r="E291" s="295" t="str">
        <f t="array" ref="E291">IFERROR(INDEX('計測入力シート（ここのみ編集可）'!$AW$17:$AW$116,MATCH(A285&amp;B285,'計測入力シート（ここのみ編集可）'!$BO$17:$BO$116,0)),"")</f>
        <v/>
      </c>
      <c r="F291" s="296"/>
      <c r="G291" s="297" t="s">
        <v>110</v>
      </c>
      <c r="H291" s="298" t="str">
        <f t="array" ref="H291">IFERROR(INDEX('計測入力シート（ここのみ編集可）'!$AY$17:$AY$116,MATCH(A285&amp;B285,'計測入力シート（ここのみ編集可）'!$BO$17:$BO$116,0)),"")</f>
        <v/>
      </c>
    </row>
    <row r="292" ht="20.25" customHeight="1">
      <c r="D292" s="299" t="s">
        <v>42</v>
      </c>
      <c r="E292" s="300" t="str">
        <f t="array" ref="E292">IFERROR(INDEX('計測入力シート（ここのみ編集可）'!$AZ$17:$AZ$116,MATCH(A285&amp;B285,'計測入力シート（ここのみ編集可）'!$BO$17:$BO$116,0)),"")</f>
        <v/>
      </c>
      <c r="F292" s="116"/>
      <c r="G292" s="301" t="s">
        <v>111</v>
      </c>
      <c r="H292" s="302" t="str">
        <f t="array" ref="H292">IFERROR(INDEX('計測入力シート（ここのみ編集可）'!$BB$17:$BB$116,MATCH(A285&amp;B285,'計測入力シート（ここのみ編集可）'!$BO$17:$BO$116,0)),"")</f>
        <v/>
      </c>
    </row>
    <row r="293" ht="20.25" customHeight="1">
      <c r="D293" s="303" t="s">
        <v>112</v>
      </c>
      <c r="E293" s="304" t="str">
        <f t="array" ref="E293">IFERROR(INDEX('計測入力シート（ここのみ編集可）'!$BC$17:$BC$116,MATCH(A285&amp;B285,'計測入力シート（ここのみ編集可）'!$BO$17:$BO$116,0)),"")</f>
        <v/>
      </c>
      <c r="F293" s="305"/>
      <c r="G293" s="306" t="s">
        <v>25</v>
      </c>
      <c r="H293" s="307" t="str">
        <f t="array" ref="H293">IFERROR(INDEX('計測入力シート（ここのみ編集可）'!$BD$17:$BD$116,MATCH(A285&amp;B285,'計測入力シート（ここのみ編集可）'!$BO$17:$BO$116,0)),"")</f>
        <v/>
      </c>
    </row>
    <row r="294" ht="20.25" customHeight="1">
      <c r="D294" s="308"/>
    </row>
    <row r="295" ht="27.0" customHeight="1">
      <c r="A295" s="52" t="str">
        <f>A285</f>
        <v>B</v>
      </c>
      <c r="B295" s="52">
        <f>B285+1</f>
        <v>30</v>
      </c>
      <c r="D295" s="271" t="s">
        <v>80</v>
      </c>
      <c r="E295" s="272" t="s">
        <v>81</v>
      </c>
      <c r="F295" s="272" t="s">
        <v>82</v>
      </c>
      <c r="G295" s="273" t="s">
        <v>49</v>
      </c>
      <c r="H295" s="274"/>
    </row>
    <row r="296" ht="27.0" customHeight="1">
      <c r="A296" s="86"/>
      <c r="B296" s="86"/>
      <c r="D296" s="275" t="str">
        <f t="array" ref="D296">IFERROR(INDEX('計測入力シート（ここのみ編集可）'!$BN$17:$BN$116,MATCH(A295&amp;B295,'計測入力シート（ここのみ編集可）'!$BO$17:$BO$116,0)),"")</f>
        <v/>
      </c>
      <c r="E296" s="276" t="str">
        <f t="array" ref="E296">IFERROR(INDEX('計測入力シート（ここのみ編集可）'!$BP$17:$BP$116,MATCH(A295&amp;B295,'計測入力シート（ここのみ編集可）'!$BO$17:$BO$116,0)),"")</f>
        <v/>
      </c>
      <c r="F296" s="277" t="str">
        <f t="array" ref="F296">IFERROR(INDEX('計測入力シート（ここのみ編集可）'!$BR$17:$BR$116,MATCH(A295&amp;B295,'計測入力シート（ここのみ編集可）'!$BO$17:$BO$116,0)),"")</f>
        <v/>
      </c>
      <c r="G296" s="278" t="str">
        <f t="array" ref="G296">IFERROR(INDEX('計測入力シート（ここのみ編集可）'!$BL$17:$BL$116,MATCH(A295&amp;B295,'計測入力シート（ここのみ編集可）'!$BO$17:$BO$116,0)),"")</f>
        <v/>
      </c>
      <c r="H296" s="279"/>
    </row>
    <row r="297" ht="27.0" customHeight="1">
      <c r="D297" s="280" t="s">
        <v>2</v>
      </c>
      <c r="E297" s="281" t="str">
        <f t="array" ref="E297">IFERROR(INDEX('計測入力シート（ここのみ編集可）'!$C$17:$C$116,MATCH(A295&amp;B295,'計測入力シート（ここのみ編集可）'!$BO$17:$BO$116,0)),"")</f>
        <v/>
      </c>
      <c r="F297" s="282" t="s">
        <v>17</v>
      </c>
      <c r="G297" s="283" t="str">
        <f t="array" ref="G297">IFERROR(INDEX('計測入力シート（ここのみ編集可）'!$D$17:$D$116,MATCH(A295&amp;B295,'計測入力シート（ここのみ編集可）'!$BO$17:$BO$116,0)),"")</f>
        <v/>
      </c>
      <c r="H297" s="284"/>
    </row>
    <row r="298" ht="27.0" customHeight="1">
      <c r="D298" s="285" t="s">
        <v>1</v>
      </c>
      <c r="E298" s="286" t="str">
        <f t="array" ref="E298">IFERROR(INDEX('計測入力シート（ここのみ編集可）'!$B$17:$B$116,MATCH(A295&amp;B295,'計測入力シート（ここのみ編集可）'!$BO$17:$BO$116,0)),"")</f>
        <v/>
      </c>
      <c r="F298" s="287" t="s">
        <v>18</v>
      </c>
      <c r="G298" s="288" t="str">
        <f t="array" ref="G298">IFERROR(INDEX('計測入力シート（ここのみ編集可）'!$E$17:$E$116,MATCH(A295&amp;B295,'計測入力シート（ここのみ編集可）'!$BO$17:$BO$116,0)),"")</f>
        <v/>
      </c>
      <c r="H298" s="289"/>
    </row>
    <row r="299" ht="24.75" customHeight="1">
      <c r="D299" s="290" t="s">
        <v>92</v>
      </c>
      <c r="E299" s="291" t="str">
        <f t="array" ref="E299">IFERROR(INDEX(#REF!,MATCH(A295&amp;B295,'計測入力シート（ここのみ編集可）'!$BO$17:$BO$116,0)),"")</f>
        <v/>
      </c>
      <c r="H299" s="232"/>
    </row>
    <row r="300" ht="52.5" customHeight="1">
      <c r="D300" s="292" t="s">
        <v>100</v>
      </c>
      <c r="E300" s="293" t="str">
        <f t="array" ref="E300">IFERROR(INDEX(#REF!,MATCH(A295&amp;B295,'計測入力シート（ここのみ編集可）'!$BO$17:$BO$116,0)),"")</f>
        <v/>
      </c>
      <c r="F300" s="95"/>
      <c r="G300" s="95"/>
      <c r="H300" s="96"/>
    </row>
    <row r="301" ht="20.25" customHeight="1">
      <c r="D301" s="294" t="s">
        <v>39</v>
      </c>
      <c r="E301" s="295" t="str">
        <f t="array" ref="E301">IFERROR(INDEX('計測入力シート（ここのみ編集可）'!$AW$17:$AW$116,MATCH(A295&amp;B295,'計測入力シート（ここのみ編集可）'!$BO$17:$BO$116,0)),"")</f>
        <v/>
      </c>
      <c r="F301" s="296"/>
      <c r="G301" s="297" t="s">
        <v>110</v>
      </c>
      <c r="H301" s="298" t="str">
        <f t="array" ref="H301">IFERROR(INDEX('計測入力シート（ここのみ編集可）'!$AY$17:$AY$116,MATCH(A295&amp;B295,'計測入力シート（ここのみ編集可）'!$BO$17:$BO$116,0)),"")</f>
        <v/>
      </c>
    </row>
    <row r="302" ht="20.25" customHeight="1">
      <c r="D302" s="299" t="s">
        <v>42</v>
      </c>
      <c r="E302" s="300" t="str">
        <f t="array" ref="E302">IFERROR(INDEX('計測入力シート（ここのみ編集可）'!$AZ$17:$AZ$116,MATCH(A295&amp;B295,'計測入力シート（ここのみ編集可）'!$BO$17:$BO$116,0)),"")</f>
        <v/>
      </c>
      <c r="F302" s="116"/>
      <c r="G302" s="301" t="s">
        <v>111</v>
      </c>
      <c r="H302" s="302" t="str">
        <f t="array" ref="H302">IFERROR(INDEX('計測入力シート（ここのみ編集可）'!$BB$17:$BB$116,MATCH(A295&amp;B295,'計測入力シート（ここのみ編集可）'!$BO$17:$BO$116,0)),"")</f>
        <v/>
      </c>
    </row>
    <row r="303" ht="20.25" customHeight="1">
      <c r="D303" s="303" t="s">
        <v>112</v>
      </c>
      <c r="E303" s="304" t="str">
        <f t="array" ref="E303">IFERROR(INDEX('計測入力シート（ここのみ編集可）'!$BC$17:$BC$116,MATCH(A295&amp;B295,'計測入力シート（ここのみ編集可）'!$BO$17:$BO$116,0)),"")</f>
        <v/>
      </c>
      <c r="F303" s="305"/>
      <c r="G303" s="306" t="s">
        <v>25</v>
      </c>
      <c r="H303" s="307" t="str">
        <f t="array" ref="H303">IFERROR(INDEX('計測入力シート（ここのみ編集可）'!$BD$17:$BD$116,MATCH(A295&amp;B295,'計測入力シート（ここのみ編集可）'!$BO$17:$BO$116,0)),"")</f>
        <v/>
      </c>
    </row>
    <row r="304">
      <c r="D304" s="309"/>
      <c r="E304" s="309"/>
      <c r="F304" s="309"/>
      <c r="G304" s="309"/>
      <c r="H304" s="309"/>
    </row>
    <row r="305">
      <c r="D305" s="309"/>
      <c r="E305" s="309"/>
      <c r="F305" s="309"/>
      <c r="G305" s="309"/>
      <c r="H305" s="309"/>
    </row>
    <row r="306">
      <c r="D306" s="309"/>
      <c r="E306" s="309"/>
      <c r="F306" s="309"/>
      <c r="G306" s="309"/>
      <c r="H306" s="309"/>
    </row>
    <row r="307">
      <c r="D307" s="309"/>
      <c r="E307" s="309"/>
      <c r="F307" s="309"/>
      <c r="G307" s="309"/>
      <c r="H307" s="309"/>
    </row>
    <row r="308">
      <c r="D308" s="309"/>
      <c r="E308" s="309"/>
      <c r="F308" s="309"/>
      <c r="G308" s="309"/>
      <c r="H308" s="309"/>
    </row>
    <row r="309">
      <c r="D309" s="309"/>
      <c r="E309" s="309"/>
      <c r="F309" s="309"/>
      <c r="G309" s="309"/>
      <c r="H309" s="309"/>
    </row>
    <row r="310">
      <c r="D310" s="309"/>
      <c r="E310" s="309"/>
      <c r="F310" s="309"/>
      <c r="G310" s="309"/>
      <c r="H310" s="309"/>
    </row>
    <row r="311">
      <c r="D311" s="309"/>
      <c r="E311" s="309"/>
      <c r="F311" s="309"/>
      <c r="G311" s="309"/>
      <c r="H311" s="309"/>
    </row>
    <row r="312">
      <c r="D312" s="309"/>
      <c r="E312" s="309"/>
      <c r="F312" s="309"/>
      <c r="G312" s="309"/>
      <c r="H312" s="309"/>
    </row>
    <row r="313">
      <c r="D313" s="309"/>
      <c r="E313" s="309"/>
      <c r="F313" s="309"/>
      <c r="G313" s="309"/>
      <c r="H313" s="309"/>
    </row>
    <row r="314">
      <c r="D314" s="309"/>
      <c r="E314" s="309"/>
      <c r="F314" s="309"/>
      <c r="G314" s="309"/>
      <c r="H314" s="309"/>
    </row>
    <row r="315">
      <c r="D315" s="309"/>
      <c r="E315" s="309"/>
      <c r="F315" s="309"/>
      <c r="G315" s="309"/>
      <c r="H315" s="309"/>
    </row>
    <row r="316">
      <c r="D316" s="309"/>
      <c r="E316" s="309"/>
      <c r="F316" s="309"/>
      <c r="G316" s="309"/>
      <c r="H316" s="309"/>
    </row>
    <row r="317">
      <c r="D317" s="309"/>
      <c r="E317" s="309"/>
      <c r="F317" s="309"/>
      <c r="G317" s="309"/>
      <c r="H317" s="309"/>
    </row>
    <row r="318">
      <c r="D318" s="309"/>
      <c r="E318" s="309"/>
      <c r="F318" s="309"/>
      <c r="G318" s="309"/>
      <c r="H318" s="309"/>
    </row>
    <row r="319">
      <c r="D319" s="309"/>
      <c r="E319" s="309"/>
      <c r="F319" s="309"/>
      <c r="G319" s="309"/>
      <c r="H319" s="309"/>
    </row>
    <row r="320">
      <c r="D320" s="309"/>
      <c r="E320" s="309"/>
      <c r="F320" s="309"/>
      <c r="G320" s="309"/>
      <c r="H320" s="309"/>
    </row>
    <row r="321">
      <c r="D321" s="309"/>
      <c r="E321" s="309"/>
      <c r="F321" s="309"/>
      <c r="G321" s="309"/>
      <c r="H321" s="309"/>
      <c r="I321" s="309"/>
    </row>
    <row r="322">
      <c r="D322" s="309"/>
      <c r="E322" s="309"/>
      <c r="F322" s="309"/>
      <c r="G322" s="309"/>
      <c r="H322" s="309"/>
      <c r="I322" s="309"/>
    </row>
    <row r="323">
      <c r="D323" s="309"/>
      <c r="E323" s="309"/>
      <c r="F323" s="309"/>
      <c r="G323" s="309"/>
      <c r="H323" s="309"/>
      <c r="I323" s="309"/>
    </row>
    <row r="324">
      <c r="D324" s="309"/>
      <c r="E324" s="309"/>
      <c r="F324" s="309"/>
      <c r="G324" s="309"/>
      <c r="H324" s="309"/>
      <c r="I324" s="309"/>
    </row>
    <row r="325">
      <c r="D325" s="309"/>
      <c r="E325" s="309"/>
      <c r="F325" s="309"/>
      <c r="G325" s="309"/>
      <c r="H325" s="309"/>
      <c r="I325" s="309"/>
    </row>
    <row r="326">
      <c r="D326" s="309"/>
      <c r="E326" s="309"/>
      <c r="F326" s="309"/>
      <c r="G326" s="309"/>
      <c r="H326" s="309"/>
      <c r="I326" s="309"/>
    </row>
    <row r="327">
      <c r="D327" s="309"/>
      <c r="E327" s="309"/>
      <c r="F327" s="309"/>
      <c r="G327" s="309"/>
      <c r="H327" s="309"/>
      <c r="I327" s="309"/>
    </row>
    <row r="328">
      <c r="D328" s="309"/>
      <c r="E328" s="309"/>
      <c r="F328" s="309"/>
      <c r="G328" s="309"/>
      <c r="H328" s="309"/>
      <c r="I328" s="309"/>
    </row>
    <row r="329">
      <c r="D329" s="309"/>
      <c r="E329" s="309"/>
      <c r="F329" s="309"/>
      <c r="G329" s="309"/>
      <c r="H329" s="309"/>
      <c r="I329" s="309"/>
    </row>
    <row r="330">
      <c r="D330" s="309"/>
      <c r="E330" s="309"/>
      <c r="F330" s="309"/>
      <c r="G330" s="309"/>
      <c r="H330" s="309"/>
      <c r="I330" s="309"/>
    </row>
    <row r="331">
      <c r="D331" s="309"/>
      <c r="E331" s="309"/>
      <c r="F331" s="309"/>
      <c r="G331" s="309"/>
      <c r="H331" s="309"/>
      <c r="I331" s="309"/>
    </row>
    <row r="332">
      <c r="D332" s="309"/>
      <c r="E332" s="309"/>
      <c r="F332" s="309"/>
      <c r="G332" s="309"/>
      <c r="H332" s="309"/>
      <c r="I332" s="309"/>
    </row>
    <row r="333">
      <c r="D333" s="309"/>
      <c r="E333" s="309"/>
      <c r="F333" s="309"/>
      <c r="G333" s="309"/>
      <c r="H333" s="309"/>
      <c r="I333" s="309"/>
    </row>
    <row r="334">
      <c r="D334" s="309"/>
      <c r="E334" s="309"/>
      <c r="F334" s="309"/>
      <c r="G334" s="309"/>
      <c r="H334" s="309"/>
      <c r="I334" s="309"/>
    </row>
    <row r="335">
      <c r="D335" s="309"/>
      <c r="E335" s="309"/>
      <c r="F335" s="309"/>
      <c r="G335" s="309"/>
      <c r="H335" s="309"/>
      <c r="I335" s="309"/>
    </row>
    <row r="336">
      <c r="D336" s="309"/>
      <c r="E336" s="309"/>
      <c r="F336" s="309"/>
      <c r="G336" s="309"/>
      <c r="H336" s="309"/>
      <c r="I336" s="309"/>
    </row>
    <row r="337">
      <c r="D337" s="309"/>
      <c r="E337" s="309"/>
      <c r="F337" s="309"/>
      <c r="G337" s="309"/>
      <c r="H337" s="309"/>
      <c r="I337" s="309"/>
    </row>
    <row r="338">
      <c r="D338" s="309"/>
      <c r="E338" s="309"/>
      <c r="F338" s="309"/>
      <c r="G338" s="309"/>
      <c r="H338" s="309"/>
      <c r="I338" s="309"/>
    </row>
    <row r="339">
      <c r="D339" s="309"/>
      <c r="E339" s="309"/>
      <c r="F339" s="309"/>
      <c r="G339" s="309"/>
      <c r="H339" s="309"/>
      <c r="I339" s="309"/>
    </row>
    <row r="340">
      <c r="D340" s="309"/>
      <c r="E340" s="309"/>
      <c r="F340" s="309"/>
      <c r="G340" s="309"/>
      <c r="H340" s="309"/>
      <c r="I340" s="309"/>
    </row>
    <row r="341">
      <c r="D341" s="309"/>
      <c r="E341" s="309"/>
      <c r="F341" s="309"/>
      <c r="G341" s="309"/>
      <c r="H341" s="309"/>
      <c r="I341" s="309"/>
    </row>
    <row r="342">
      <c r="D342" s="309"/>
      <c r="E342" s="309"/>
      <c r="F342" s="309"/>
      <c r="G342" s="309"/>
      <c r="H342" s="309"/>
      <c r="I342" s="309"/>
    </row>
    <row r="343">
      <c r="D343" s="309"/>
      <c r="E343" s="309"/>
      <c r="F343" s="309"/>
      <c r="G343" s="309"/>
      <c r="H343" s="309"/>
      <c r="I343" s="309"/>
    </row>
    <row r="344">
      <c r="D344" s="309"/>
      <c r="E344" s="309"/>
      <c r="F344" s="309"/>
      <c r="G344" s="309"/>
      <c r="H344" s="309"/>
      <c r="I344" s="309"/>
    </row>
    <row r="345">
      <c r="D345" s="309"/>
      <c r="E345" s="309"/>
      <c r="F345" s="309"/>
      <c r="G345" s="309"/>
      <c r="H345" s="309"/>
      <c r="I345" s="309"/>
    </row>
    <row r="346">
      <c r="D346" s="309"/>
      <c r="E346" s="309"/>
      <c r="F346" s="309"/>
      <c r="G346" s="309"/>
      <c r="H346" s="309"/>
      <c r="I346" s="309"/>
    </row>
    <row r="347">
      <c r="D347" s="309"/>
      <c r="E347" s="309"/>
      <c r="F347" s="309"/>
      <c r="G347" s="309"/>
      <c r="H347" s="309"/>
      <c r="I347" s="309"/>
    </row>
    <row r="348">
      <c r="D348" s="309"/>
      <c r="E348" s="309"/>
      <c r="F348" s="309"/>
      <c r="G348" s="309"/>
      <c r="H348" s="309"/>
      <c r="I348" s="309"/>
    </row>
    <row r="349">
      <c r="D349" s="309"/>
      <c r="E349" s="309"/>
      <c r="F349" s="309"/>
      <c r="G349" s="309"/>
      <c r="H349" s="309"/>
      <c r="I349" s="309"/>
    </row>
    <row r="350">
      <c r="D350" s="309"/>
      <c r="E350" s="309"/>
      <c r="F350" s="309"/>
      <c r="G350" s="309"/>
      <c r="H350" s="309"/>
      <c r="I350" s="309"/>
    </row>
    <row r="351">
      <c r="D351" s="309"/>
      <c r="E351" s="309"/>
      <c r="F351" s="309"/>
      <c r="G351" s="309"/>
      <c r="H351" s="309"/>
      <c r="I351" s="309"/>
    </row>
    <row r="352">
      <c r="D352" s="309"/>
      <c r="E352" s="309"/>
      <c r="F352" s="309"/>
      <c r="G352" s="309"/>
      <c r="H352" s="309"/>
      <c r="I352" s="309"/>
    </row>
    <row r="353">
      <c r="D353" s="309"/>
      <c r="E353" s="309"/>
      <c r="F353" s="309"/>
      <c r="G353" s="309"/>
      <c r="H353" s="309"/>
      <c r="I353" s="309"/>
    </row>
    <row r="354">
      <c r="D354" s="309"/>
      <c r="E354" s="309"/>
      <c r="F354" s="309"/>
      <c r="G354" s="309"/>
      <c r="H354" s="309"/>
      <c r="I354" s="309"/>
    </row>
    <row r="355">
      <c r="D355" s="309"/>
      <c r="E355" s="309"/>
      <c r="F355" s="309"/>
      <c r="G355" s="309"/>
      <c r="H355" s="309"/>
      <c r="I355" s="309"/>
    </row>
    <row r="356">
      <c r="D356" s="309"/>
      <c r="E356" s="309"/>
      <c r="F356" s="309"/>
      <c r="G356" s="309"/>
      <c r="H356" s="309"/>
      <c r="I356" s="309"/>
    </row>
    <row r="357">
      <c r="D357" s="309"/>
      <c r="E357" s="309"/>
      <c r="F357" s="309"/>
      <c r="G357" s="309"/>
      <c r="H357" s="309"/>
      <c r="I357" s="309"/>
    </row>
    <row r="358">
      <c r="D358" s="309"/>
      <c r="E358" s="309"/>
      <c r="F358" s="309"/>
      <c r="G358" s="309"/>
      <c r="H358" s="309"/>
      <c r="I358" s="309"/>
    </row>
    <row r="359">
      <c r="D359" s="309"/>
      <c r="E359" s="309"/>
      <c r="F359" s="309"/>
      <c r="G359" s="309"/>
      <c r="H359" s="309"/>
      <c r="I359" s="309"/>
    </row>
    <row r="360">
      <c r="D360" s="309"/>
      <c r="E360" s="309"/>
      <c r="F360" s="309"/>
      <c r="G360" s="309"/>
      <c r="H360" s="309"/>
      <c r="I360" s="309"/>
    </row>
    <row r="361">
      <c r="D361" s="309"/>
      <c r="E361" s="309"/>
      <c r="F361" s="309"/>
      <c r="G361" s="309"/>
      <c r="H361" s="309"/>
      <c r="I361" s="309"/>
    </row>
    <row r="362">
      <c r="D362" s="309"/>
      <c r="E362" s="309"/>
      <c r="F362" s="309"/>
      <c r="G362" s="309"/>
      <c r="H362" s="309"/>
      <c r="I362" s="309"/>
    </row>
    <row r="363">
      <c r="D363" s="309"/>
      <c r="E363" s="309"/>
      <c r="F363" s="309"/>
      <c r="G363" s="309"/>
      <c r="H363" s="309"/>
      <c r="I363" s="309"/>
    </row>
    <row r="364">
      <c r="D364" s="309"/>
      <c r="E364" s="309"/>
      <c r="F364" s="309"/>
      <c r="G364" s="309"/>
      <c r="H364" s="309"/>
      <c r="I364" s="309"/>
    </row>
    <row r="365">
      <c r="D365" s="309"/>
      <c r="E365" s="309"/>
      <c r="F365" s="309"/>
      <c r="G365" s="309"/>
      <c r="H365" s="309"/>
      <c r="I365" s="309"/>
    </row>
    <row r="366">
      <c r="D366" s="309"/>
      <c r="E366" s="309"/>
      <c r="F366" s="309"/>
      <c r="G366" s="309"/>
      <c r="H366" s="309"/>
      <c r="I366" s="309"/>
    </row>
    <row r="367">
      <c r="D367" s="309"/>
      <c r="E367" s="309"/>
      <c r="F367" s="309"/>
      <c r="G367" s="309"/>
      <c r="H367" s="309"/>
      <c r="I367" s="309"/>
    </row>
    <row r="368">
      <c r="D368" s="309"/>
      <c r="E368" s="309"/>
      <c r="F368" s="309"/>
      <c r="G368" s="309"/>
      <c r="H368" s="309"/>
      <c r="I368" s="309"/>
    </row>
    <row r="369">
      <c r="D369" s="309"/>
      <c r="E369" s="309"/>
      <c r="F369" s="309"/>
      <c r="G369" s="309"/>
      <c r="H369" s="309"/>
      <c r="I369" s="309"/>
    </row>
    <row r="370">
      <c r="D370" s="309"/>
      <c r="E370" s="309"/>
      <c r="F370" s="309"/>
      <c r="G370" s="309"/>
      <c r="H370" s="309"/>
      <c r="I370" s="309"/>
    </row>
    <row r="371">
      <c r="D371" s="309"/>
      <c r="E371" s="309"/>
      <c r="F371" s="309"/>
      <c r="G371" s="309"/>
      <c r="H371" s="309"/>
      <c r="I371" s="309"/>
    </row>
    <row r="372">
      <c r="D372" s="309"/>
      <c r="E372" s="309"/>
      <c r="F372" s="309"/>
      <c r="G372" s="309"/>
      <c r="H372" s="309"/>
      <c r="I372" s="309"/>
    </row>
    <row r="373">
      <c r="D373" s="309"/>
      <c r="E373" s="309"/>
      <c r="F373" s="309"/>
      <c r="G373" s="309"/>
      <c r="H373" s="309"/>
      <c r="I373" s="309"/>
    </row>
    <row r="374">
      <c r="D374" s="309"/>
      <c r="E374" s="309"/>
      <c r="F374" s="309"/>
      <c r="G374" s="309"/>
      <c r="H374" s="309"/>
      <c r="I374" s="309"/>
    </row>
    <row r="375">
      <c r="D375" s="309"/>
      <c r="E375" s="309"/>
      <c r="F375" s="309"/>
      <c r="G375" s="309"/>
      <c r="H375" s="309"/>
      <c r="I375" s="309"/>
    </row>
    <row r="376">
      <c r="D376" s="309"/>
      <c r="E376" s="309"/>
      <c r="F376" s="309"/>
      <c r="G376" s="309"/>
      <c r="H376" s="309"/>
      <c r="I376" s="309"/>
    </row>
    <row r="377">
      <c r="D377" s="309"/>
      <c r="E377" s="309"/>
      <c r="F377" s="309"/>
      <c r="G377" s="309"/>
      <c r="H377" s="309"/>
      <c r="I377" s="309"/>
    </row>
    <row r="378">
      <c r="D378" s="309"/>
      <c r="E378" s="309"/>
      <c r="F378" s="309"/>
      <c r="G378" s="309"/>
      <c r="H378" s="309"/>
      <c r="I378" s="309"/>
    </row>
    <row r="379">
      <c r="D379" s="309"/>
      <c r="E379" s="309"/>
      <c r="F379" s="309"/>
      <c r="G379" s="309"/>
      <c r="H379" s="309"/>
      <c r="I379" s="309"/>
    </row>
    <row r="380">
      <c r="D380" s="309"/>
      <c r="E380" s="309"/>
      <c r="F380" s="309"/>
      <c r="G380" s="309"/>
      <c r="H380" s="309"/>
      <c r="I380" s="309"/>
    </row>
    <row r="381">
      <c r="D381" s="309"/>
      <c r="E381" s="309"/>
      <c r="F381" s="309"/>
      <c r="G381" s="309"/>
      <c r="H381" s="309"/>
      <c r="I381" s="309"/>
    </row>
    <row r="382">
      <c r="D382" s="309"/>
      <c r="E382" s="309"/>
      <c r="F382" s="309"/>
      <c r="G382" s="309"/>
      <c r="H382" s="309"/>
      <c r="I382" s="309"/>
    </row>
    <row r="383">
      <c r="D383" s="309"/>
      <c r="E383" s="309"/>
      <c r="F383" s="309"/>
      <c r="G383" s="309"/>
      <c r="H383" s="309"/>
      <c r="I383" s="309"/>
    </row>
    <row r="384">
      <c r="D384" s="309"/>
      <c r="E384" s="309"/>
      <c r="F384" s="309"/>
      <c r="G384" s="309"/>
      <c r="H384" s="309"/>
      <c r="I384" s="309"/>
    </row>
    <row r="385">
      <c r="D385" s="309"/>
      <c r="E385" s="309"/>
      <c r="F385" s="309"/>
      <c r="G385" s="309"/>
      <c r="H385" s="309"/>
      <c r="I385" s="309"/>
    </row>
    <row r="386">
      <c r="D386" s="309"/>
      <c r="E386" s="309"/>
      <c r="F386" s="309"/>
      <c r="G386" s="309"/>
      <c r="H386" s="309"/>
      <c r="I386" s="309"/>
    </row>
    <row r="387">
      <c r="D387" s="309"/>
      <c r="E387" s="309"/>
      <c r="F387" s="309"/>
      <c r="G387" s="309"/>
      <c r="H387" s="309"/>
      <c r="I387" s="309"/>
    </row>
    <row r="388">
      <c r="D388" s="309"/>
      <c r="E388" s="309"/>
      <c r="F388" s="309"/>
      <c r="G388" s="309"/>
      <c r="H388" s="309"/>
      <c r="I388" s="309"/>
    </row>
    <row r="389">
      <c r="D389" s="309"/>
      <c r="E389" s="309"/>
      <c r="F389" s="309"/>
      <c r="G389" s="309"/>
      <c r="H389" s="309"/>
      <c r="I389" s="309"/>
    </row>
    <row r="390">
      <c r="D390" s="309"/>
      <c r="E390" s="309"/>
      <c r="F390" s="309"/>
      <c r="G390" s="309"/>
      <c r="H390" s="309"/>
      <c r="I390" s="309"/>
    </row>
    <row r="391">
      <c r="D391" s="309"/>
      <c r="E391" s="309"/>
      <c r="F391" s="309"/>
      <c r="G391" s="309"/>
      <c r="H391" s="309"/>
      <c r="I391" s="309"/>
    </row>
    <row r="392">
      <c r="D392" s="309"/>
      <c r="E392" s="309"/>
      <c r="F392" s="309"/>
      <c r="G392" s="309"/>
      <c r="H392" s="309"/>
      <c r="I392" s="309"/>
    </row>
    <row r="393">
      <c r="D393" s="309"/>
      <c r="E393" s="309"/>
      <c r="F393" s="309"/>
      <c r="G393" s="309"/>
      <c r="H393" s="309"/>
      <c r="I393" s="309"/>
    </row>
    <row r="394">
      <c r="D394" s="309"/>
      <c r="E394" s="309"/>
      <c r="F394" s="309"/>
      <c r="G394" s="309"/>
      <c r="H394" s="309"/>
      <c r="I394" s="309"/>
    </row>
    <row r="395">
      <c r="D395" s="309"/>
      <c r="E395" s="309"/>
      <c r="F395" s="309"/>
      <c r="G395" s="309"/>
      <c r="H395" s="309"/>
      <c r="I395" s="309"/>
    </row>
    <row r="396">
      <c r="D396" s="309"/>
      <c r="E396" s="309"/>
      <c r="F396" s="309"/>
      <c r="G396" s="309"/>
      <c r="H396" s="309"/>
      <c r="I396" s="309"/>
    </row>
    <row r="397">
      <c r="D397" s="309"/>
      <c r="E397" s="309"/>
      <c r="F397" s="309"/>
      <c r="G397" s="309"/>
      <c r="H397" s="309"/>
      <c r="I397" s="309"/>
    </row>
    <row r="398">
      <c r="D398" s="309"/>
      <c r="E398" s="309"/>
      <c r="F398" s="309"/>
      <c r="G398" s="309"/>
      <c r="H398" s="309"/>
      <c r="I398" s="309"/>
    </row>
    <row r="399">
      <c r="D399" s="309"/>
      <c r="E399" s="309"/>
      <c r="F399" s="309"/>
      <c r="G399" s="309"/>
      <c r="H399" s="309"/>
      <c r="I399" s="309"/>
    </row>
    <row r="400">
      <c r="D400" s="309"/>
      <c r="E400" s="309"/>
      <c r="F400" s="309"/>
      <c r="G400" s="309"/>
      <c r="H400" s="309"/>
      <c r="I400" s="309"/>
    </row>
    <row r="401">
      <c r="D401" s="309"/>
      <c r="E401" s="309"/>
      <c r="F401" s="309"/>
      <c r="G401" s="309"/>
      <c r="H401" s="309"/>
      <c r="I401" s="309"/>
    </row>
    <row r="402">
      <c r="D402" s="309"/>
      <c r="E402" s="309"/>
      <c r="F402" s="309"/>
      <c r="G402" s="309"/>
      <c r="H402" s="309"/>
      <c r="I402" s="309"/>
    </row>
    <row r="403">
      <c r="D403" s="309"/>
      <c r="E403" s="309"/>
      <c r="F403" s="309"/>
      <c r="G403" s="309"/>
      <c r="H403" s="309"/>
      <c r="I403" s="309"/>
    </row>
    <row r="404">
      <c r="D404" s="309"/>
      <c r="E404" s="309"/>
      <c r="F404" s="309"/>
      <c r="G404" s="309"/>
      <c r="H404" s="309"/>
      <c r="I404" s="309"/>
    </row>
    <row r="405">
      <c r="D405" s="309"/>
      <c r="E405" s="309"/>
      <c r="F405" s="309"/>
      <c r="G405" s="309"/>
      <c r="H405" s="309"/>
      <c r="I405" s="309"/>
    </row>
    <row r="406">
      <c r="D406" s="309"/>
      <c r="E406" s="309"/>
      <c r="F406" s="309"/>
      <c r="G406" s="309"/>
      <c r="H406" s="309"/>
      <c r="I406" s="309"/>
    </row>
    <row r="407">
      <c r="D407" s="309"/>
      <c r="E407" s="309"/>
      <c r="F407" s="309"/>
      <c r="G407" s="309"/>
      <c r="H407" s="309"/>
      <c r="I407" s="309"/>
    </row>
    <row r="408">
      <c r="D408" s="309"/>
      <c r="E408" s="309"/>
      <c r="F408" s="309"/>
      <c r="G408" s="309"/>
      <c r="H408" s="309"/>
      <c r="I408" s="309"/>
    </row>
    <row r="409">
      <c r="D409" s="309"/>
      <c r="E409" s="309"/>
      <c r="F409" s="309"/>
      <c r="G409" s="309"/>
      <c r="H409" s="309"/>
      <c r="I409" s="309"/>
    </row>
    <row r="410">
      <c r="D410" s="309"/>
      <c r="E410" s="309"/>
      <c r="F410" s="309"/>
      <c r="G410" s="309"/>
      <c r="H410" s="309"/>
      <c r="I410" s="309"/>
    </row>
    <row r="411">
      <c r="D411" s="309"/>
      <c r="E411" s="309"/>
      <c r="F411" s="309"/>
      <c r="G411" s="309"/>
      <c r="H411" s="309"/>
      <c r="I411" s="309"/>
    </row>
    <row r="412">
      <c r="D412" s="309"/>
      <c r="E412" s="309"/>
      <c r="F412" s="309"/>
      <c r="G412" s="309"/>
      <c r="H412" s="309"/>
      <c r="I412" s="309"/>
    </row>
    <row r="413">
      <c r="D413" s="309"/>
      <c r="E413" s="309"/>
      <c r="F413" s="309"/>
      <c r="G413" s="309"/>
      <c r="H413" s="309"/>
      <c r="I413" s="309"/>
    </row>
    <row r="414">
      <c r="D414" s="309"/>
      <c r="E414" s="309"/>
      <c r="F414" s="309"/>
      <c r="G414" s="309"/>
      <c r="H414" s="309"/>
      <c r="I414" s="309"/>
    </row>
    <row r="415">
      <c r="D415" s="309"/>
      <c r="E415" s="309"/>
      <c r="F415" s="309"/>
      <c r="G415" s="309"/>
      <c r="H415" s="309"/>
      <c r="I415" s="309"/>
    </row>
    <row r="416">
      <c r="D416" s="309"/>
      <c r="E416" s="309"/>
      <c r="F416" s="309"/>
      <c r="G416" s="309"/>
      <c r="H416" s="309"/>
      <c r="I416" s="309"/>
    </row>
    <row r="417">
      <c r="D417" s="309"/>
      <c r="E417" s="309"/>
      <c r="F417" s="309"/>
      <c r="G417" s="309"/>
      <c r="H417" s="309"/>
      <c r="I417" s="309"/>
    </row>
    <row r="418">
      <c r="D418" s="309"/>
      <c r="E418" s="309"/>
      <c r="F418" s="309"/>
      <c r="G418" s="309"/>
      <c r="H418" s="309"/>
      <c r="I418" s="309"/>
    </row>
    <row r="419">
      <c r="D419" s="309"/>
      <c r="E419" s="309"/>
      <c r="F419" s="309"/>
      <c r="G419" s="309"/>
      <c r="H419" s="309"/>
      <c r="I419" s="309"/>
    </row>
    <row r="420">
      <c r="D420" s="309"/>
      <c r="E420" s="309"/>
      <c r="F420" s="309"/>
      <c r="G420" s="309"/>
      <c r="H420" s="309"/>
      <c r="I420" s="309"/>
    </row>
    <row r="421">
      <c r="D421" s="309"/>
      <c r="E421" s="309"/>
      <c r="F421" s="309"/>
      <c r="G421" s="309"/>
      <c r="H421" s="309"/>
      <c r="I421" s="309"/>
    </row>
    <row r="422">
      <c r="D422" s="309"/>
      <c r="E422" s="309"/>
      <c r="F422" s="309"/>
      <c r="G422" s="309"/>
      <c r="H422" s="309"/>
      <c r="I422" s="309"/>
    </row>
    <row r="423">
      <c r="D423" s="309"/>
      <c r="E423" s="309"/>
      <c r="F423" s="309"/>
      <c r="G423" s="309"/>
      <c r="H423" s="309"/>
      <c r="I423" s="309"/>
    </row>
    <row r="424">
      <c r="D424" s="309"/>
      <c r="E424" s="309"/>
      <c r="F424" s="309"/>
      <c r="G424" s="309"/>
      <c r="H424" s="309"/>
      <c r="I424" s="309"/>
    </row>
    <row r="425">
      <c r="D425" s="309"/>
      <c r="E425" s="309"/>
      <c r="F425" s="309"/>
      <c r="G425" s="309"/>
      <c r="H425" s="309"/>
      <c r="I425" s="309"/>
    </row>
    <row r="426">
      <c r="D426" s="309"/>
      <c r="E426" s="309"/>
      <c r="F426" s="309"/>
      <c r="G426" s="309"/>
      <c r="H426" s="309"/>
      <c r="I426" s="309"/>
    </row>
    <row r="427">
      <c r="D427" s="309"/>
      <c r="E427" s="309"/>
      <c r="F427" s="309"/>
      <c r="G427" s="309"/>
      <c r="H427" s="309"/>
      <c r="I427" s="309"/>
    </row>
    <row r="428">
      <c r="D428" s="309"/>
      <c r="E428" s="309"/>
      <c r="F428" s="309"/>
      <c r="G428" s="309"/>
      <c r="H428" s="309"/>
      <c r="I428" s="309"/>
    </row>
    <row r="429">
      <c r="D429" s="309"/>
      <c r="E429" s="309"/>
      <c r="F429" s="309"/>
      <c r="G429" s="309"/>
      <c r="H429" s="309"/>
      <c r="I429" s="309"/>
    </row>
    <row r="430">
      <c r="D430" s="309"/>
      <c r="E430" s="309"/>
      <c r="F430" s="309"/>
      <c r="G430" s="309"/>
      <c r="H430" s="309"/>
      <c r="I430" s="309"/>
    </row>
    <row r="431">
      <c r="D431" s="309"/>
      <c r="E431" s="309"/>
      <c r="F431" s="309"/>
      <c r="G431" s="309"/>
      <c r="H431" s="309"/>
      <c r="I431" s="309"/>
    </row>
    <row r="432">
      <c r="D432" s="309"/>
      <c r="E432" s="309"/>
      <c r="F432" s="309"/>
      <c r="G432" s="309"/>
      <c r="H432" s="309"/>
      <c r="I432" s="309"/>
    </row>
    <row r="433">
      <c r="D433" s="309"/>
      <c r="E433" s="309"/>
      <c r="F433" s="309"/>
      <c r="G433" s="309"/>
      <c r="H433" s="309"/>
      <c r="I433" s="309"/>
    </row>
    <row r="434">
      <c r="D434" s="309"/>
      <c r="E434" s="309"/>
      <c r="F434" s="309"/>
      <c r="G434" s="309"/>
      <c r="H434" s="309"/>
      <c r="I434" s="309"/>
    </row>
    <row r="435">
      <c r="D435" s="309"/>
      <c r="E435" s="309"/>
      <c r="F435" s="309"/>
      <c r="G435" s="309"/>
      <c r="H435" s="309"/>
      <c r="I435" s="309"/>
    </row>
    <row r="436">
      <c r="D436" s="309"/>
      <c r="E436" s="309"/>
      <c r="F436" s="309"/>
      <c r="G436" s="309"/>
      <c r="H436" s="309"/>
      <c r="I436" s="309"/>
    </row>
    <row r="437">
      <c r="D437" s="309"/>
      <c r="E437" s="309"/>
      <c r="F437" s="309"/>
      <c r="G437" s="309"/>
      <c r="H437" s="309"/>
      <c r="I437" s="309"/>
    </row>
    <row r="438">
      <c r="D438" s="309"/>
      <c r="E438" s="309"/>
      <c r="F438" s="309"/>
      <c r="G438" s="309"/>
      <c r="H438" s="309"/>
      <c r="I438" s="309"/>
    </row>
    <row r="439">
      <c r="D439" s="309"/>
      <c r="E439" s="309"/>
      <c r="F439" s="309"/>
      <c r="G439" s="309"/>
      <c r="H439" s="309"/>
      <c r="I439" s="309"/>
    </row>
    <row r="440">
      <c r="D440" s="309"/>
      <c r="E440" s="309"/>
      <c r="F440" s="309"/>
      <c r="G440" s="309"/>
      <c r="H440" s="309"/>
      <c r="I440" s="309"/>
    </row>
    <row r="441">
      <c r="D441" s="309"/>
      <c r="E441" s="309"/>
      <c r="F441" s="309"/>
      <c r="G441" s="309"/>
      <c r="H441" s="309"/>
      <c r="I441" s="309"/>
    </row>
    <row r="442">
      <c r="D442" s="309"/>
      <c r="E442" s="309"/>
      <c r="F442" s="309"/>
      <c r="G442" s="309"/>
      <c r="H442" s="309"/>
      <c r="I442" s="309"/>
    </row>
    <row r="443">
      <c r="D443" s="309"/>
      <c r="E443" s="309"/>
      <c r="F443" s="309"/>
      <c r="G443" s="309"/>
      <c r="H443" s="309"/>
      <c r="I443" s="309"/>
    </row>
    <row r="444">
      <c r="D444" s="309"/>
      <c r="E444" s="309"/>
      <c r="F444" s="309"/>
      <c r="G444" s="309"/>
      <c r="H444" s="309"/>
      <c r="I444" s="309"/>
    </row>
    <row r="445">
      <c r="D445" s="309"/>
      <c r="E445" s="309"/>
      <c r="F445" s="309"/>
      <c r="G445" s="309"/>
      <c r="H445" s="309"/>
      <c r="I445" s="309"/>
    </row>
    <row r="446">
      <c r="D446" s="309"/>
      <c r="E446" s="309"/>
      <c r="F446" s="309"/>
      <c r="G446" s="309"/>
      <c r="H446" s="309"/>
      <c r="I446" s="309"/>
    </row>
    <row r="447">
      <c r="D447" s="309"/>
      <c r="E447" s="309"/>
      <c r="F447" s="309"/>
      <c r="G447" s="309"/>
      <c r="H447" s="309"/>
      <c r="I447" s="309"/>
    </row>
    <row r="448">
      <c r="D448" s="309"/>
      <c r="E448" s="309"/>
      <c r="F448" s="309"/>
      <c r="G448" s="309"/>
      <c r="H448" s="309"/>
      <c r="I448" s="309"/>
    </row>
    <row r="449">
      <c r="D449" s="309"/>
      <c r="E449" s="309"/>
      <c r="F449" s="309"/>
      <c r="G449" s="309"/>
      <c r="H449" s="309"/>
      <c r="I449" s="309"/>
    </row>
    <row r="450">
      <c r="D450" s="309"/>
      <c r="E450" s="309"/>
      <c r="F450" s="309"/>
      <c r="G450" s="309"/>
      <c r="H450" s="309"/>
      <c r="I450" s="309"/>
    </row>
    <row r="451">
      <c r="D451" s="309"/>
      <c r="E451" s="309"/>
      <c r="F451" s="309"/>
      <c r="G451" s="309"/>
      <c r="H451" s="309"/>
      <c r="I451" s="309"/>
    </row>
    <row r="452">
      <c r="D452" s="309"/>
      <c r="E452" s="309"/>
      <c r="F452" s="309"/>
      <c r="G452" s="309"/>
      <c r="H452" s="309"/>
      <c r="I452" s="309"/>
    </row>
    <row r="453">
      <c r="D453" s="309"/>
      <c r="E453" s="309"/>
      <c r="F453" s="309"/>
      <c r="G453" s="309"/>
      <c r="H453" s="309"/>
      <c r="I453" s="309"/>
    </row>
    <row r="454">
      <c r="D454" s="309"/>
      <c r="E454" s="309"/>
      <c r="F454" s="309"/>
      <c r="G454" s="309"/>
      <c r="H454" s="309"/>
      <c r="I454" s="309"/>
    </row>
    <row r="455">
      <c r="D455" s="309"/>
      <c r="E455" s="309"/>
      <c r="F455" s="309"/>
      <c r="G455" s="309"/>
      <c r="H455" s="309"/>
      <c r="I455" s="309"/>
    </row>
    <row r="456">
      <c r="D456" s="309"/>
      <c r="E456" s="309"/>
      <c r="F456" s="309"/>
      <c r="G456" s="309"/>
      <c r="H456" s="309"/>
      <c r="I456" s="309"/>
    </row>
    <row r="457">
      <c r="D457" s="309"/>
      <c r="E457" s="309"/>
      <c r="F457" s="309"/>
      <c r="G457" s="309"/>
      <c r="H457" s="309"/>
      <c r="I457" s="309"/>
    </row>
    <row r="458">
      <c r="D458" s="309"/>
      <c r="E458" s="309"/>
      <c r="F458" s="309"/>
      <c r="G458" s="309"/>
      <c r="H458" s="309"/>
      <c r="I458" s="309"/>
    </row>
    <row r="459">
      <c r="D459" s="309"/>
      <c r="E459" s="309"/>
      <c r="F459" s="309"/>
      <c r="G459" s="309"/>
      <c r="H459" s="309"/>
      <c r="I459" s="309"/>
    </row>
    <row r="460">
      <c r="D460" s="309"/>
      <c r="E460" s="309"/>
      <c r="F460" s="309"/>
      <c r="G460" s="309"/>
      <c r="H460" s="309"/>
      <c r="I460" s="309"/>
    </row>
    <row r="461">
      <c r="D461" s="309"/>
      <c r="E461" s="309"/>
      <c r="F461" s="309"/>
      <c r="G461" s="309"/>
      <c r="H461" s="309"/>
      <c r="I461" s="309"/>
    </row>
    <row r="462">
      <c r="D462" s="309"/>
      <c r="E462" s="309"/>
      <c r="F462" s="309"/>
      <c r="G462" s="309"/>
      <c r="H462" s="309"/>
      <c r="I462" s="309"/>
    </row>
    <row r="463">
      <c r="D463" s="309"/>
      <c r="E463" s="309"/>
      <c r="F463" s="309"/>
      <c r="G463" s="309"/>
      <c r="H463" s="309"/>
      <c r="I463" s="309"/>
    </row>
    <row r="464">
      <c r="D464" s="309"/>
      <c r="E464" s="309"/>
      <c r="F464" s="309"/>
      <c r="G464" s="309"/>
      <c r="H464" s="309"/>
      <c r="I464" s="309"/>
    </row>
    <row r="465">
      <c r="D465" s="309"/>
      <c r="E465" s="309"/>
      <c r="F465" s="309"/>
      <c r="G465" s="309"/>
      <c r="H465" s="309"/>
      <c r="I465" s="309"/>
    </row>
    <row r="466">
      <c r="D466" s="309"/>
      <c r="E466" s="309"/>
      <c r="F466" s="309"/>
      <c r="G466" s="309"/>
      <c r="H466" s="309"/>
      <c r="I466" s="309"/>
    </row>
    <row r="467">
      <c r="D467" s="309"/>
      <c r="E467" s="309"/>
      <c r="F467" s="309"/>
      <c r="G467" s="309"/>
      <c r="H467" s="309"/>
      <c r="I467" s="309"/>
    </row>
    <row r="468">
      <c r="D468" s="309"/>
      <c r="E468" s="309"/>
      <c r="F468" s="309"/>
      <c r="G468" s="309"/>
      <c r="H468" s="309"/>
      <c r="I468" s="309"/>
    </row>
    <row r="469">
      <c r="D469" s="309"/>
      <c r="E469" s="309"/>
      <c r="F469" s="309"/>
      <c r="G469" s="309"/>
      <c r="H469" s="309"/>
      <c r="I469" s="309"/>
    </row>
    <row r="470">
      <c r="D470" s="309"/>
      <c r="E470" s="309"/>
      <c r="F470" s="309"/>
      <c r="G470" s="309"/>
      <c r="H470" s="309"/>
      <c r="I470" s="309"/>
    </row>
    <row r="471">
      <c r="D471" s="309"/>
      <c r="E471" s="309"/>
      <c r="F471" s="309"/>
      <c r="G471" s="309"/>
      <c r="H471" s="309"/>
      <c r="I471" s="309"/>
    </row>
    <row r="472">
      <c r="D472" s="309"/>
      <c r="E472" s="309"/>
      <c r="F472" s="309"/>
      <c r="G472" s="309"/>
      <c r="H472" s="309"/>
      <c r="I472" s="309"/>
    </row>
    <row r="473">
      <c r="D473" s="309"/>
      <c r="E473" s="309"/>
      <c r="F473" s="309"/>
      <c r="G473" s="309"/>
      <c r="H473" s="309"/>
      <c r="I473" s="309"/>
    </row>
    <row r="474">
      <c r="D474" s="309"/>
      <c r="E474" s="309"/>
      <c r="F474" s="309"/>
      <c r="G474" s="309"/>
      <c r="H474" s="309"/>
      <c r="I474" s="309"/>
    </row>
    <row r="475">
      <c r="D475" s="309"/>
      <c r="E475" s="309"/>
      <c r="F475" s="309"/>
      <c r="G475" s="309"/>
      <c r="H475" s="309"/>
      <c r="I475" s="309"/>
    </row>
    <row r="476">
      <c r="D476" s="309"/>
      <c r="E476" s="309"/>
      <c r="F476" s="309"/>
      <c r="G476" s="309"/>
      <c r="H476" s="309"/>
      <c r="I476" s="309"/>
    </row>
    <row r="477">
      <c r="D477" s="309"/>
      <c r="E477" s="309"/>
      <c r="F477" s="309"/>
      <c r="G477" s="309"/>
      <c r="H477" s="309"/>
      <c r="I477" s="309"/>
    </row>
    <row r="478">
      <c r="D478" s="309"/>
      <c r="E478" s="309"/>
      <c r="F478" s="309"/>
      <c r="G478" s="309"/>
      <c r="H478" s="309"/>
      <c r="I478" s="309"/>
    </row>
    <row r="479">
      <c r="D479" s="309"/>
      <c r="E479" s="309"/>
      <c r="F479" s="309"/>
      <c r="G479" s="309"/>
      <c r="H479" s="309"/>
      <c r="I479" s="309"/>
    </row>
    <row r="480">
      <c r="D480" s="309"/>
      <c r="E480" s="309"/>
      <c r="F480" s="309"/>
      <c r="G480" s="309"/>
      <c r="H480" s="309"/>
      <c r="I480" s="309"/>
    </row>
    <row r="481">
      <c r="D481" s="309"/>
      <c r="E481" s="309"/>
      <c r="F481" s="309"/>
      <c r="G481" s="309"/>
      <c r="H481" s="309"/>
      <c r="I481" s="309"/>
    </row>
    <row r="482">
      <c r="D482" s="309"/>
      <c r="E482" s="309"/>
      <c r="F482" s="309"/>
      <c r="G482" s="309"/>
      <c r="H482" s="309"/>
      <c r="I482" s="309"/>
    </row>
    <row r="483">
      <c r="D483" s="309"/>
      <c r="E483" s="309"/>
      <c r="F483" s="309"/>
      <c r="G483" s="309"/>
      <c r="H483" s="309"/>
      <c r="I483" s="309"/>
    </row>
    <row r="484">
      <c r="D484" s="309"/>
      <c r="E484" s="309"/>
      <c r="F484" s="309"/>
      <c r="G484" s="309"/>
      <c r="H484" s="309"/>
      <c r="I484" s="309"/>
    </row>
    <row r="485">
      <c r="D485" s="309"/>
      <c r="E485" s="309"/>
      <c r="F485" s="309"/>
      <c r="G485" s="309"/>
      <c r="H485" s="309"/>
      <c r="I485" s="309"/>
    </row>
    <row r="486">
      <c r="D486" s="309"/>
      <c r="E486" s="309"/>
      <c r="F486" s="309"/>
      <c r="G486" s="309"/>
      <c r="H486" s="309"/>
      <c r="I486" s="309"/>
    </row>
    <row r="487">
      <c r="D487" s="309"/>
      <c r="E487" s="309"/>
      <c r="F487" s="309"/>
      <c r="G487" s="309"/>
      <c r="H487" s="309"/>
      <c r="I487" s="309"/>
    </row>
    <row r="488">
      <c r="D488" s="309"/>
      <c r="E488" s="309"/>
      <c r="F488" s="309"/>
      <c r="G488" s="309"/>
      <c r="H488" s="309"/>
      <c r="I488" s="309"/>
    </row>
    <row r="489">
      <c r="D489" s="309"/>
      <c r="E489" s="309"/>
      <c r="F489" s="309"/>
      <c r="G489" s="309"/>
      <c r="H489" s="309"/>
      <c r="I489" s="309"/>
    </row>
    <row r="490">
      <c r="D490" s="309"/>
      <c r="E490" s="309"/>
      <c r="F490" s="309"/>
      <c r="G490" s="309"/>
      <c r="H490" s="309"/>
      <c r="I490" s="309"/>
    </row>
    <row r="491">
      <c r="D491" s="309"/>
      <c r="E491" s="309"/>
      <c r="F491" s="309"/>
      <c r="G491" s="309"/>
      <c r="H491" s="309"/>
      <c r="I491" s="309"/>
    </row>
    <row r="492">
      <c r="D492" s="309"/>
      <c r="E492" s="309"/>
      <c r="F492" s="309"/>
      <c r="G492" s="309"/>
      <c r="H492" s="309"/>
      <c r="I492" s="309"/>
    </row>
    <row r="493">
      <c r="D493" s="309"/>
      <c r="E493" s="309"/>
      <c r="F493" s="309"/>
      <c r="G493" s="309"/>
      <c r="H493" s="309"/>
      <c r="I493" s="309"/>
    </row>
    <row r="494">
      <c r="D494" s="309"/>
      <c r="E494" s="309"/>
      <c r="F494" s="309"/>
      <c r="G494" s="309"/>
      <c r="H494" s="309"/>
      <c r="I494" s="309"/>
    </row>
    <row r="495">
      <c r="D495" s="309"/>
      <c r="E495" s="309"/>
      <c r="F495" s="309"/>
      <c r="G495" s="309"/>
      <c r="H495" s="309"/>
      <c r="I495" s="309"/>
    </row>
    <row r="496">
      <c r="D496" s="309"/>
      <c r="E496" s="309"/>
      <c r="F496" s="309"/>
      <c r="G496" s="309"/>
      <c r="H496" s="309"/>
      <c r="I496" s="309"/>
    </row>
    <row r="497">
      <c r="D497" s="309"/>
      <c r="E497" s="309"/>
      <c r="F497" s="309"/>
      <c r="G497" s="309"/>
      <c r="H497" s="309"/>
      <c r="I497" s="309"/>
    </row>
    <row r="498">
      <c r="D498" s="309"/>
      <c r="E498" s="309"/>
      <c r="F498" s="309"/>
      <c r="G498" s="309"/>
      <c r="H498" s="309"/>
      <c r="I498" s="309"/>
    </row>
    <row r="499">
      <c r="D499" s="309"/>
      <c r="E499" s="309"/>
      <c r="F499" s="309"/>
      <c r="G499" s="309"/>
      <c r="H499" s="309"/>
      <c r="I499" s="309"/>
    </row>
    <row r="500">
      <c r="D500" s="309"/>
      <c r="E500" s="309"/>
      <c r="F500" s="309"/>
      <c r="G500" s="309"/>
      <c r="H500" s="309"/>
      <c r="I500" s="309"/>
    </row>
    <row r="501">
      <c r="D501" s="309"/>
      <c r="E501" s="309"/>
      <c r="F501" s="309"/>
      <c r="G501" s="309"/>
      <c r="H501" s="309"/>
      <c r="I501" s="309"/>
    </row>
    <row r="502">
      <c r="D502" s="309"/>
      <c r="E502" s="309"/>
      <c r="F502" s="309"/>
      <c r="G502" s="309"/>
      <c r="H502" s="309"/>
      <c r="I502" s="309"/>
    </row>
    <row r="503">
      <c r="D503" s="309"/>
      <c r="E503" s="309"/>
      <c r="F503" s="309"/>
      <c r="G503" s="309"/>
      <c r="H503" s="309"/>
      <c r="I503" s="309"/>
    </row>
    <row r="504">
      <c r="D504" s="309"/>
      <c r="E504" s="309"/>
      <c r="F504" s="309"/>
      <c r="G504" s="309"/>
      <c r="H504" s="309"/>
      <c r="I504" s="309"/>
    </row>
    <row r="505">
      <c r="D505" s="309"/>
      <c r="E505" s="309"/>
      <c r="F505" s="309"/>
      <c r="G505" s="309"/>
      <c r="H505" s="309"/>
      <c r="I505" s="309"/>
    </row>
    <row r="506">
      <c r="D506" s="309"/>
      <c r="E506" s="309"/>
      <c r="F506" s="309"/>
      <c r="G506" s="309"/>
      <c r="H506" s="309"/>
      <c r="I506" s="309"/>
    </row>
    <row r="507">
      <c r="D507" s="309"/>
      <c r="E507" s="309"/>
      <c r="F507" s="309"/>
      <c r="G507" s="309"/>
      <c r="H507" s="309"/>
      <c r="I507" s="309"/>
    </row>
    <row r="508">
      <c r="D508" s="309"/>
      <c r="E508" s="309"/>
      <c r="F508" s="309"/>
      <c r="G508" s="309"/>
      <c r="H508" s="309"/>
      <c r="I508" s="309"/>
    </row>
    <row r="509">
      <c r="D509" s="309"/>
      <c r="E509" s="309"/>
      <c r="F509" s="309"/>
      <c r="G509" s="309"/>
      <c r="H509" s="309"/>
      <c r="I509" s="309"/>
    </row>
    <row r="510">
      <c r="D510" s="309"/>
      <c r="E510" s="309"/>
      <c r="F510" s="309"/>
      <c r="G510" s="309"/>
      <c r="H510" s="309"/>
      <c r="I510" s="309"/>
    </row>
    <row r="511">
      <c r="D511" s="309"/>
      <c r="E511" s="309"/>
      <c r="F511" s="309"/>
      <c r="G511" s="309"/>
      <c r="H511" s="309"/>
      <c r="I511" s="309"/>
    </row>
    <row r="512">
      <c r="D512" s="309"/>
      <c r="E512" s="309"/>
      <c r="F512" s="309"/>
      <c r="G512" s="309"/>
      <c r="H512" s="309"/>
      <c r="I512" s="309"/>
    </row>
    <row r="513">
      <c r="D513" s="309"/>
      <c r="E513" s="309"/>
      <c r="F513" s="309"/>
      <c r="G513" s="309"/>
      <c r="H513" s="309"/>
      <c r="I513" s="309"/>
    </row>
    <row r="514">
      <c r="D514" s="309"/>
      <c r="E514" s="309"/>
      <c r="F514" s="309"/>
      <c r="G514" s="309"/>
      <c r="H514" s="309"/>
      <c r="I514" s="309"/>
    </row>
    <row r="515">
      <c r="D515" s="309"/>
      <c r="E515" s="309"/>
      <c r="F515" s="309"/>
      <c r="G515" s="309"/>
      <c r="H515" s="309"/>
      <c r="I515" s="309"/>
    </row>
    <row r="516">
      <c r="D516" s="309"/>
      <c r="E516" s="309"/>
      <c r="F516" s="309"/>
      <c r="G516" s="309"/>
      <c r="H516" s="309"/>
      <c r="I516" s="309"/>
    </row>
    <row r="517">
      <c r="D517" s="309"/>
      <c r="E517" s="309"/>
      <c r="F517" s="309"/>
      <c r="G517" s="309"/>
      <c r="H517" s="309"/>
      <c r="I517" s="309"/>
    </row>
    <row r="518">
      <c r="D518" s="309"/>
      <c r="E518" s="309"/>
      <c r="F518" s="309"/>
      <c r="G518" s="309"/>
      <c r="H518" s="309"/>
      <c r="I518" s="309"/>
    </row>
    <row r="519">
      <c r="D519" s="309"/>
      <c r="E519" s="309"/>
      <c r="F519" s="309"/>
      <c r="G519" s="309"/>
      <c r="H519" s="309"/>
      <c r="I519" s="309"/>
    </row>
    <row r="520">
      <c r="D520" s="309"/>
      <c r="E520" s="309"/>
      <c r="F520" s="309"/>
      <c r="G520" s="309"/>
      <c r="H520" s="309"/>
      <c r="I520" s="309"/>
    </row>
    <row r="521">
      <c r="D521" s="309"/>
      <c r="E521" s="309"/>
      <c r="F521" s="309"/>
      <c r="G521" s="309"/>
      <c r="H521" s="309"/>
      <c r="I521" s="309"/>
    </row>
    <row r="522">
      <c r="D522" s="309"/>
      <c r="E522" s="309"/>
      <c r="F522" s="309"/>
      <c r="G522" s="309"/>
      <c r="H522" s="309"/>
      <c r="I522" s="309"/>
    </row>
    <row r="523">
      <c r="D523" s="309"/>
      <c r="E523" s="309"/>
      <c r="F523" s="309"/>
      <c r="G523" s="309"/>
      <c r="H523" s="309"/>
      <c r="I523" s="309"/>
    </row>
    <row r="524">
      <c r="D524" s="309"/>
      <c r="E524" s="309"/>
      <c r="F524" s="309"/>
      <c r="G524" s="309"/>
      <c r="H524" s="309"/>
      <c r="I524" s="309"/>
    </row>
    <row r="525">
      <c r="D525" s="309"/>
      <c r="E525" s="309"/>
      <c r="F525" s="309"/>
      <c r="G525" s="309"/>
      <c r="H525" s="309"/>
      <c r="I525" s="309"/>
    </row>
    <row r="526">
      <c r="D526" s="309"/>
      <c r="E526" s="309"/>
      <c r="F526" s="309"/>
      <c r="G526" s="309"/>
      <c r="H526" s="309"/>
      <c r="I526" s="309"/>
    </row>
    <row r="527">
      <c r="D527" s="309"/>
      <c r="E527" s="309"/>
      <c r="F527" s="309"/>
      <c r="G527" s="309"/>
      <c r="H527" s="309"/>
      <c r="I527" s="309"/>
    </row>
    <row r="528">
      <c r="D528" s="309"/>
      <c r="E528" s="309"/>
      <c r="F528" s="309"/>
      <c r="G528" s="309"/>
      <c r="H528" s="309"/>
      <c r="I528" s="309"/>
    </row>
    <row r="529">
      <c r="D529" s="309"/>
      <c r="E529" s="309"/>
      <c r="F529" s="309"/>
      <c r="G529" s="309"/>
      <c r="H529" s="309"/>
      <c r="I529" s="309"/>
    </row>
    <row r="530">
      <c r="D530" s="309"/>
      <c r="E530" s="309"/>
      <c r="F530" s="309"/>
      <c r="G530" s="309"/>
      <c r="H530" s="309"/>
      <c r="I530" s="309"/>
    </row>
    <row r="531">
      <c r="D531" s="309"/>
      <c r="E531" s="309"/>
      <c r="F531" s="309"/>
      <c r="G531" s="309"/>
      <c r="H531" s="309"/>
      <c r="I531" s="309"/>
    </row>
    <row r="532">
      <c r="D532" s="309"/>
      <c r="E532" s="309"/>
      <c r="F532" s="309"/>
      <c r="G532" s="309"/>
      <c r="H532" s="309"/>
      <c r="I532" s="309"/>
    </row>
    <row r="533">
      <c r="D533" s="309"/>
      <c r="E533" s="309"/>
      <c r="F533" s="309"/>
      <c r="G533" s="309"/>
      <c r="H533" s="309"/>
      <c r="I533" s="309"/>
    </row>
    <row r="534">
      <c r="D534" s="309"/>
      <c r="E534" s="309"/>
      <c r="F534" s="309"/>
      <c r="G534" s="309"/>
      <c r="H534" s="309"/>
      <c r="I534" s="309"/>
    </row>
    <row r="535">
      <c r="D535" s="309"/>
      <c r="E535" s="309"/>
      <c r="F535" s="309"/>
      <c r="G535" s="309"/>
      <c r="H535" s="309"/>
      <c r="I535" s="309"/>
    </row>
    <row r="536">
      <c r="D536" s="309"/>
      <c r="E536" s="309"/>
      <c r="F536" s="309"/>
      <c r="G536" s="309"/>
      <c r="H536" s="309"/>
      <c r="I536" s="309"/>
    </row>
    <row r="537">
      <c r="D537" s="309"/>
      <c r="E537" s="309"/>
      <c r="F537" s="309"/>
      <c r="G537" s="309"/>
      <c r="H537" s="309"/>
      <c r="I537" s="309"/>
    </row>
    <row r="538">
      <c r="D538" s="309"/>
      <c r="E538" s="309"/>
      <c r="F538" s="309"/>
      <c r="G538" s="309"/>
      <c r="H538" s="309"/>
      <c r="I538" s="309"/>
    </row>
    <row r="539">
      <c r="D539" s="309"/>
      <c r="E539" s="309"/>
      <c r="F539" s="309"/>
      <c r="G539" s="309"/>
      <c r="H539" s="309"/>
      <c r="I539" s="309"/>
    </row>
    <row r="540">
      <c r="D540" s="309"/>
      <c r="E540" s="309"/>
      <c r="F540" s="309"/>
      <c r="G540" s="309"/>
      <c r="H540" s="309"/>
      <c r="I540" s="309"/>
    </row>
    <row r="541">
      <c r="D541" s="309"/>
      <c r="E541" s="309"/>
      <c r="F541" s="309"/>
      <c r="G541" s="309"/>
      <c r="H541" s="309"/>
      <c r="I541" s="309"/>
    </row>
    <row r="542">
      <c r="D542" s="309"/>
      <c r="E542" s="309"/>
      <c r="F542" s="309"/>
      <c r="G542" s="309"/>
      <c r="H542" s="309"/>
      <c r="I542" s="309"/>
    </row>
    <row r="543">
      <c r="D543" s="309"/>
      <c r="E543" s="309"/>
      <c r="F543" s="309"/>
      <c r="G543" s="309"/>
      <c r="H543" s="309"/>
      <c r="I543" s="309"/>
    </row>
    <row r="544">
      <c r="D544" s="309"/>
      <c r="E544" s="309"/>
      <c r="F544" s="309"/>
      <c r="G544" s="309"/>
      <c r="H544" s="309"/>
      <c r="I544" s="309"/>
    </row>
    <row r="545">
      <c r="D545" s="309"/>
      <c r="E545" s="309"/>
      <c r="F545" s="309"/>
      <c r="G545" s="309"/>
      <c r="H545" s="309"/>
      <c r="I545" s="309"/>
    </row>
    <row r="546">
      <c r="D546" s="309"/>
      <c r="E546" s="309"/>
      <c r="F546" s="309"/>
      <c r="G546" s="309"/>
      <c r="H546" s="309"/>
      <c r="I546" s="309"/>
    </row>
    <row r="547">
      <c r="D547" s="309"/>
      <c r="E547" s="309"/>
      <c r="F547" s="309"/>
      <c r="G547" s="309"/>
      <c r="H547" s="309"/>
      <c r="I547" s="309"/>
    </row>
    <row r="548">
      <c r="D548" s="309"/>
      <c r="E548" s="309"/>
      <c r="F548" s="309"/>
      <c r="G548" s="309"/>
      <c r="H548" s="309"/>
      <c r="I548" s="309"/>
    </row>
    <row r="549">
      <c r="D549" s="309"/>
      <c r="E549" s="309"/>
      <c r="F549" s="309"/>
      <c r="G549" s="309"/>
      <c r="H549" s="309"/>
      <c r="I549" s="309"/>
    </row>
    <row r="550">
      <c r="D550" s="309"/>
      <c r="E550" s="309"/>
      <c r="F550" s="309"/>
      <c r="G550" s="309"/>
      <c r="H550" s="309"/>
      <c r="I550" s="309"/>
    </row>
    <row r="551">
      <c r="D551" s="309"/>
      <c r="E551" s="309"/>
      <c r="F551" s="309"/>
      <c r="G551" s="309"/>
      <c r="H551" s="309"/>
      <c r="I551" s="309"/>
    </row>
    <row r="552">
      <c r="D552" s="309"/>
      <c r="E552" s="309"/>
      <c r="F552" s="309"/>
      <c r="G552" s="309"/>
      <c r="H552" s="309"/>
      <c r="I552" s="309"/>
    </row>
    <row r="553">
      <c r="D553" s="309"/>
      <c r="E553" s="309"/>
      <c r="F553" s="309"/>
      <c r="G553" s="309"/>
      <c r="H553" s="309"/>
      <c r="I553" s="309"/>
    </row>
    <row r="554">
      <c r="D554" s="309"/>
      <c r="E554" s="309"/>
      <c r="F554" s="309"/>
      <c r="G554" s="309"/>
      <c r="H554" s="309"/>
      <c r="I554" s="309"/>
    </row>
    <row r="555">
      <c r="D555" s="309"/>
      <c r="E555" s="309"/>
      <c r="F555" s="309"/>
      <c r="G555" s="309"/>
      <c r="H555" s="309"/>
      <c r="I555" s="309"/>
    </row>
    <row r="556">
      <c r="D556" s="309"/>
      <c r="E556" s="309"/>
      <c r="F556" s="309"/>
      <c r="G556" s="309"/>
      <c r="H556" s="309"/>
      <c r="I556" s="309"/>
    </row>
    <row r="557">
      <c r="D557" s="309"/>
      <c r="E557" s="309"/>
      <c r="F557" s="309"/>
      <c r="G557" s="309"/>
      <c r="H557" s="309"/>
      <c r="I557" s="309"/>
    </row>
    <row r="558">
      <c r="D558" s="309"/>
      <c r="E558" s="309"/>
      <c r="F558" s="309"/>
      <c r="G558" s="309"/>
      <c r="H558" s="309"/>
      <c r="I558" s="309"/>
    </row>
    <row r="559">
      <c r="D559" s="309"/>
      <c r="E559" s="309"/>
      <c r="F559" s="309"/>
      <c r="G559" s="309"/>
      <c r="H559" s="309"/>
      <c r="I559" s="309"/>
    </row>
    <row r="560">
      <c r="D560" s="309"/>
      <c r="E560" s="309"/>
      <c r="F560" s="309"/>
      <c r="G560" s="309"/>
      <c r="H560" s="309"/>
      <c r="I560" s="309"/>
    </row>
    <row r="561">
      <c r="D561" s="309"/>
      <c r="E561" s="309"/>
      <c r="F561" s="309"/>
      <c r="G561" s="309"/>
      <c r="H561" s="309"/>
      <c r="I561" s="309"/>
    </row>
    <row r="562">
      <c r="D562" s="309"/>
      <c r="E562" s="309"/>
      <c r="F562" s="309"/>
      <c r="G562" s="309"/>
      <c r="H562" s="309"/>
      <c r="I562" s="309"/>
    </row>
    <row r="563">
      <c r="D563" s="309"/>
      <c r="E563" s="309"/>
      <c r="F563" s="309"/>
      <c r="G563" s="309"/>
      <c r="H563" s="309"/>
      <c r="I563" s="309"/>
    </row>
    <row r="564">
      <c r="D564" s="309"/>
      <c r="E564" s="309"/>
      <c r="F564" s="309"/>
      <c r="G564" s="309"/>
      <c r="H564" s="309"/>
      <c r="I564" s="309"/>
    </row>
    <row r="565">
      <c r="D565" s="309"/>
      <c r="E565" s="309"/>
      <c r="F565" s="309"/>
      <c r="G565" s="309"/>
      <c r="H565" s="309"/>
      <c r="I565" s="309"/>
    </row>
    <row r="566">
      <c r="D566" s="309"/>
      <c r="E566" s="309"/>
      <c r="F566" s="309"/>
      <c r="G566" s="309"/>
      <c r="H566" s="309"/>
      <c r="I566" s="309"/>
    </row>
    <row r="567">
      <c r="D567" s="309"/>
      <c r="E567" s="309"/>
      <c r="F567" s="309"/>
      <c r="G567" s="309"/>
      <c r="H567" s="309"/>
      <c r="I567" s="309"/>
    </row>
    <row r="568">
      <c r="D568" s="309"/>
      <c r="E568" s="309"/>
      <c r="F568" s="309"/>
      <c r="G568" s="309"/>
      <c r="H568" s="309"/>
      <c r="I568" s="309"/>
    </row>
    <row r="569">
      <c r="D569" s="309"/>
      <c r="E569" s="309"/>
      <c r="F569" s="309"/>
      <c r="G569" s="309"/>
      <c r="H569" s="309"/>
      <c r="I569" s="309"/>
    </row>
    <row r="570">
      <c r="D570" s="309"/>
      <c r="E570" s="309"/>
      <c r="F570" s="309"/>
      <c r="G570" s="309"/>
      <c r="H570" s="309"/>
      <c r="I570" s="309"/>
    </row>
    <row r="571">
      <c r="D571" s="309"/>
      <c r="E571" s="309"/>
      <c r="F571" s="309"/>
      <c r="G571" s="309"/>
      <c r="H571" s="309"/>
      <c r="I571" s="309"/>
    </row>
    <row r="572">
      <c r="D572" s="309"/>
      <c r="E572" s="309"/>
      <c r="F572" s="309"/>
      <c r="G572" s="309"/>
      <c r="H572" s="309"/>
      <c r="I572" s="309"/>
    </row>
    <row r="573">
      <c r="D573" s="309"/>
      <c r="E573" s="309"/>
      <c r="F573" s="309"/>
      <c r="G573" s="309"/>
      <c r="H573" s="309"/>
      <c r="I573" s="309"/>
    </row>
    <row r="574">
      <c r="D574" s="309"/>
      <c r="E574" s="309"/>
      <c r="F574" s="309"/>
      <c r="G574" s="309"/>
      <c r="H574" s="309"/>
      <c r="I574" s="309"/>
    </row>
    <row r="575">
      <c r="D575" s="309"/>
      <c r="E575" s="309"/>
      <c r="F575" s="309"/>
      <c r="G575" s="309"/>
      <c r="H575" s="309"/>
      <c r="I575" s="309"/>
    </row>
    <row r="576">
      <c r="D576" s="309"/>
      <c r="E576" s="309"/>
      <c r="F576" s="309"/>
      <c r="G576" s="309"/>
      <c r="H576" s="309"/>
      <c r="I576" s="309"/>
    </row>
    <row r="577">
      <c r="D577" s="309"/>
      <c r="E577" s="309"/>
      <c r="F577" s="309"/>
      <c r="G577" s="309"/>
      <c r="H577" s="309"/>
      <c r="I577" s="309"/>
    </row>
    <row r="578">
      <c r="D578" s="309"/>
      <c r="E578" s="309"/>
      <c r="F578" s="309"/>
      <c r="G578" s="309"/>
      <c r="H578" s="309"/>
      <c r="I578" s="309"/>
    </row>
    <row r="579">
      <c r="D579" s="309"/>
      <c r="E579" s="309"/>
      <c r="F579" s="309"/>
      <c r="G579" s="309"/>
      <c r="H579" s="309"/>
      <c r="I579" s="309"/>
    </row>
    <row r="580">
      <c r="D580" s="309"/>
      <c r="E580" s="309"/>
      <c r="F580" s="309"/>
      <c r="G580" s="309"/>
      <c r="H580" s="309"/>
      <c r="I580" s="309"/>
    </row>
    <row r="581">
      <c r="D581" s="309"/>
      <c r="E581" s="309"/>
      <c r="F581" s="309"/>
      <c r="G581" s="309"/>
      <c r="H581" s="309"/>
      <c r="I581" s="309"/>
    </row>
    <row r="582">
      <c r="D582" s="309"/>
      <c r="E582" s="309"/>
      <c r="F582" s="309"/>
      <c r="G582" s="309"/>
      <c r="H582" s="309"/>
      <c r="I582" s="309"/>
    </row>
    <row r="583">
      <c r="D583" s="309"/>
      <c r="E583" s="309"/>
      <c r="F583" s="309"/>
      <c r="G583" s="309"/>
      <c r="H583" s="309"/>
      <c r="I583" s="309"/>
    </row>
    <row r="584">
      <c r="D584" s="309"/>
      <c r="E584" s="309"/>
      <c r="F584" s="309"/>
      <c r="G584" s="309"/>
      <c r="H584" s="309"/>
      <c r="I584" s="309"/>
    </row>
    <row r="585">
      <c r="D585" s="309"/>
      <c r="E585" s="309"/>
      <c r="F585" s="309"/>
      <c r="G585" s="309"/>
      <c r="H585" s="309"/>
      <c r="I585" s="309"/>
    </row>
    <row r="586">
      <c r="D586" s="309"/>
      <c r="E586" s="309"/>
      <c r="F586" s="309"/>
      <c r="G586" s="309"/>
      <c r="H586" s="309"/>
      <c r="I586" s="309"/>
    </row>
    <row r="587">
      <c r="D587" s="309"/>
      <c r="E587" s="309"/>
      <c r="F587" s="309"/>
      <c r="G587" s="309"/>
      <c r="H587" s="309"/>
      <c r="I587" s="309"/>
    </row>
    <row r="588">
      <c r="D588" s="309"/>
      <c r="E588" s="309"/>
      <c r="F588" s="309"/>
      <c r="G588" s="309"/>
      <c r="H588" s="309"/>
      <c r="I588" s="309"/>
    </row>
    <row r="589">
      <c r="D589" s="309"/>
      <c r="E589" s="309"/>
      <c r="F589" s="309"/>
      <c r="G589" s="309"/>
      <c r="H589" s="309"/>
      <c r="I589" s="309"/>
    </row>
    <row r="590">
      <c r="D590" s="309"/>
      <c r="E590" s="309"/>
      <c r="F590" s="309"/>
      <c r="G590" s="309"/>
      <c r="H590" s="309"/>
      <c r="I590" s="309"/>
    </row>
    <row r="591">
      <c r="D591" s="309"/>
      <c r="E591" s="309"/>
      <c r="F591" s="309"/>
      <c r="G591" s="309"/>
      <c r="H591" s="309"/>
      <c r="I591" s="309"/>
    </row>
    <row r="592">
      <c r="D592" s="309"/>
      <c r="E592" s="309"/>
      <c r="F592" s="309"/>
      <c r="G592" s="309"/>
      <c r="H592" s="309"/>
      <c r="I592" s="309"/>
    </row>
    <row r="593">
      <c r="D593" s="309"/>
      <c r="E593" s="309"/>
      <c r="F593" s="309"/>
      <c r="G593" s="309"/>
      <c r="H593" s="309"/>
      <c r="I593" s="309"/>
    </row>
    <row r="594">
      <c r="D594" s="309"/>
      <c r="E594" s="309"/>
      <c r="F594" s="309"/>
      <c r="G594" s="309"/>
      <c r="H594" s="309"/>
      <c r="I594" s="309"/>
    </row>
    <row r="595">
      <c r="D595" s="309"/>
      <c r="E595" s="309"/>
      <c r="F595" s="309"/>
      <c r="G595" s="309"/>
      <c r="H595" s="309"/>
      <c r="I595" s="309"/>
    </row>
    <row r="596">
      <c r="D596" s="309"/>
      <c r="E596" s="309"/>
      <c r="F596" s="309"/>
      <c r="G596" s="309"/>
      <c r="H596" s="309"/>
      <c r="I596" s="309"/>
    </row>
    <row r="597">
      <c r="D597" s="309"/>
      <c r="E597" s="309"/>
      <c r="F597" s="309"/>
      <c r="G597" s="309"/>
      <c r="H597" s="309"/>
      <c r="I597" s="309"/>
    </row>
    <row r="598">
      <c r="D598" s="309"/>
      <c r="E598" s="309"/>
      <c r="F598" s="309"/>
      <c r="G598" s="309"/>
      <c r="H598" s="309"/>
      <c r="I598" s="309"/>
    </row>
    <row r="599">
      <c r="D599" s="309"/>
      <c r="E599" s="309"/>
      <c r="F599" s="309"/>
      <c r="G599" s="309"/>
      <c r="H599" s="309"/>
      <c r="I599" s="309"/>
    </row>
    <row r="600">
      <c r="D600" s="309"/>
      <c r="E600" s="309"/>
      <c r="F600" s="309"/>
      <c r="G600" s="309"/>
      <c r="H600" s="309"/>
      <c r="I600" s="309"/>
    </row>
    <row r="601">
      <c r="D601" s="309"/>
      <c r="E601" s="309"/>
      <c r="F601" s="309"/>
      <c r="G601" s="309"/>
      <c r="H601" s="309"/>
      <c r="I601" s="309"/>
    </row>
    <row r="602">
      <c r="D602" s="309"/>
      <c r="E602" s="309"/>
      <c r="F602" s="309"/>
      <c r="G602" s="309"/>
      <c r="H602" s="309"/>
      <c r="I602" s="309"/>
    </row>
    <row r="603">
      <c r="D603" s="309"/>
      <c r="E603" s="309"/>
      <c r="F603" s="309"/>
      <c r="G603" s="309"/>
      <c r="H603" s="309"/>
      <c r="I603" s="309"/>
    </row>
    <row r="604">
      <c r="D604" s="309"/>
      <c r="E604" s="309"/>
      <c r="F604" s="309"/>
      <c r="G604" s="309"/>
      <c r="H604" s="309"/>
      <c r="I604" s="309"/>
    </row>
    <row r="605">
      <c r="D605" s="309"/>
      <c r="E605" s="309"/>
      <c r="F605" s="309"/>
      <c r="G605" s="309"/>
      <c r="H605" s="309"/>
      <c r="I605" s="309"/>
    </row>
    <row r="606">
      <c r="D606" s="309"/>
      <c r="E606" s="309"/>
      <c r="F606" s="309"/>
      <c r="G606" s="309"/>
      <c r="H606" s="309"/>
      <c r="I606" s="309"/>
    </row>
    <row r="607">
      <c r="D607" s="309"/>
      <c r="E607" s="309"/>
      <c r="F607" s="309"/>
      <c r="G607" s="309"/>
      <c r="H607" s="309"/>
      <c r="I607" s="309"/>
    </row>
    <row r="608">
      <c r="D608" s="309"/>
      <c r="E608" s="309"/>
      <c r="F608" s="309"/>
      <c r="G608" s="309"/>
      <c r="H608" s="309"/>
      <c r="I608" s="309"/>
    </row>
    <row r="609">
      <c r="D609" s="309"/>
      <c r="E609" s="309"/>
      <c r="F609" s="309"/>
      <c r="G609" s="309"/>
      <c r="H609" s="309"/>
      <c r="I609" s="309"/>
    </row>
    <row r="610">
      <c r="D610" s="309"/>
      <c r="E610" s="309"/>
      <c r="F610" s="309"/>
      <c r="G610" s="309"/>
      <c r="H610" s="309"/>
      <c r="I610" s="309"/>
    </row>
    <row r="611">
      <c r="D611" s="309"/>
      <c r="E611" s="309"/>
      <c r="F611" s="309"/>
      <c r="G611" s="309"/>
      <c r="H611" s="309"/>
      <c r="I611" s="309"/>
    </row>
    <row r="612">
      <c r="D612" s="309"/>
      <c r="E612" s="309"/>
      <c r="F612" s="309"/>
      <c r="G612" s="309"/>
      <c r="H612" s="309"/>
      <c r="I612" s="309"/>
    </row>
    <row r="613">
      <c r="D613" s="309"/>
      <c r="E613" s="309"/>
      <c r="F613" s="309"/>
      <c r="G613" s="309"/>
      <c r="H613" s="309"/>
      <c r="I613" s="309"/>
    </row>
    <row r="614">
      <c r="D614" s="309"/>
      <c r="E614" s="309"/>
      <c r="F614" s="309"/>
      <c r="G614" s="309"/>
      <c r="H614" s="309"/>
      <c r="I614" s="309"/>
    </row>
    <row r="615">
      <c r="D615" s="309"/>
      <c r="E615" s="309"/>
      <c r="F615" s="309"/>
      <c r="G615" s="309"/>
      <c r="H615" s="309"/>
      <c r="I615" s="309"/>
    </row>
    <row r="616">
      <c r="D616" s="309"/>
      <c r="E616" s="309"/>
      <c r="F616" s="309"/>
      <c r="G616" s="309"/>
      <c r="H616" s="309"/>
      <c r="I616" s="309"/>
    </row>
    <row r="617">
      <c r="D617" s="309"/>
      <c r="E617" s="309"/>
      <c r="F617" s="309"/>
      <c r="G617" s="309"/>
      <c r="H617" s="309"/>
      <c r="I617" s="309"/>
    </row>
    <row r="618">
      <c r="D618" s="309"/>
      <c r="E618" s="309"/>
      <c r="F618" s="309"/>
      <c r="G618" s="309"/>
      <c r="H618" s="309"/>
      <c r="I618" s="309"/>
    </row>
    <row r="619">
      <c r="D619" s="309"/>
      <c r="E619" s="309"/>
      <c r="F619" s="309"/>
      <c r="G619" s="309"/>
      <c r="H619" s="309"/>
      <c r="I619" s="309"/>
    </row>
    <row r="620">
      <c r="D620" s="309"/>
      <c r="E620" s="309"/>
      <c r="F620" s="309"/>
      <c r="G620" s="309"/>
      <c r="H620" s="309"/>
      <c r="I620" s="309"/>
    </row>
    <row r="621">
      <c r="D621" s="309"/>
      <c r="E621" s="309"/>
      <c r="F621" s="309"/>
      <c r="G621" s="309"/>
      <c r="H621" s="309"/>
      <c r="I621" s="309"/>
    </row>
    <row r="622">
      <c r="D622" s="309"/>
      <c r="E622" s="309"/>
      <c r="F622" s="309"/>
      <c r="G622" s="309"/>
      <c r="H622" s="309"/>
      <c r="I622" s="309"/>
    </row>
    <row r="623">
      <c r="D623" s="309"/>
      <c r="E623" s="309"/>
      <c r="F623" s="309"/>
      <c r="G623" s="309"/>
      <c r="H623" s="309"/>
      <c r="I623" s="309"/>
    </row>
    <row r="624">
      <c r="D624" s="309"/>
      <c r="E624" s="309"/>
      <c r="F624" s="309"/>
      <c r="G624" s="309"/>
      <c r="H624" s="309"/>
      <c r="I624" s="309"/>
    </row>
    <row r="625">
      <c r="D625" s="309"/>
      <c r="E625" s="309"/>
      <c r="F625" s="309"/>
      <c r="G625" s="309"/>
      <c r="H625" s="309"/>
      <c r="I625" s="309"/>
    </row>
    <row r="626">
      <c r="D626" s="309"/>
      <c r="E626" s="309"/>
      <c r="F626" s="309"/>
      <c r="G626" s="309"/>
      <c r="H626" s="309"/>
      <c r="I626" s="309"/>
    </row>
    <row r="627">
      <c r="D627" s="309"/>
      <c r="E627" s="309"/>
      <c r="F627" s="309"/>
      <c r="G627" s="309"/>
      <c r="H627" s="309"/>
      <c r="I627" s="309"/>
    </row>
    <row r="628">
      <c r="D628" s="309"/>
      <c r="E628" s="309"/>
      <c r="F628" s="309"/>
      <c r="G628" s="309"/>
      <c r="H628" s="309"/>
      <c r="I628" s="309"/>
    </row>
    <row r="629">
      <c r="D629" s="309"/>
      <c r="E629" s="309"/>
      <c r="F629" s="309"/>
      <c r="G629" s="309"/>
      <c r="H629" s="309"/>
      <c r="I629" s="309"/>
    </row>
    <row r="630">
      <c r="D630" s="309"/>
      <c r="E630" s="309"/>
      <c r="F630" s="309"/>
      <c r="G630" s="309"/>
      <c r="H630" s="309"/>
      <c r="I630" s="309"/>
    </row>
    <row r="631">
      <c r="D631" s="309"/>
      <c r="E631" s="309"/>
      <c r="F631" s="309"/>
      <c r="G631" s="309"/>
      <c r="H631" s="309"/>
      <c r="I631" s="309"/>
    </row>
    <row r="632">
      <c r="D632" s="309"/>
      <c r="E632" s="309"/>
      <c r="F632" s="309"/>
      <c r="G632" s="309"/>
      <c r="H632" s="309"/>
      <c r="I632" s="309"/>
    </row>
    <row r="633">
      <c r="D633" s="309"/>
      <c r="E633" s="309"/>
      <c r="F633" s="309"/>
      <c r="G633" s="309"/>
      <c r="H633" s="309"/>
      <c r="I633" s="309"/>
    </row>
    <row r="634">
      <c r="D634" s="309"/>
      <c r="E634" s="309"/>
      <c r="F634" s="309"/>
      <c r="G634" s="309"/>
      <c r="H634" s="309"/>
      <c r="I634" s="309"/>
    </row>
    <row r="635">
      <c r="D635" s="309"/>
      <c r="E635" s="309"/>
      <c r="F635" s="309"/>
      <c r="G635" s="309"/>
      <c r="H635" s="309"/>
      <c r="I635" s="309"/>
    </row>
    <row r="636">
      <c r="D636" s="309"/>
      <c r="E636" s="309"/>
      <c r="F636" s="309"/>
      <c r="G636" s="309"/>
      <c r="H636" s="309"/>
      <c r="I636" s="309"/>
    </row>
    <row r="637">
      <c r="D637" s="309"/>
      <c r="E637" s="309"/>
      <c r="F637" s="309"/>
      <c r="G637" s="309"/>
      <c r="H637" s="309"/>
      <c r="I637" s="309"/>
    </row>
    <row r="638">
      <c r="D638" s="309"/>
      <c r="E638" s="309"/>
      <c r="F638" s="309"/>
      <c r="G638" s="309"/>
      <c r="H638" s="309"/>
      <c r="I638" s="309"/>
    </row>
    <row r="639">
      <c r="D639" s="309"/>
      <c r="E639" s="309"/>
      <c r="F639" s="309"/>
      <c r="G639" s="309"/>
      <c r="H639" s="309"/>
      <c r="I639" s="309"/>
    </row>
    <row r="640">
      <c r="D640" s="309"/>
      <c r="E640" s="309"/>
      <c r="F640" s="309"/>
      <c r="G640" s="309"/>
      <c r="H640" s="309"/>
      <c r="I640" s="309"/>
    </row>
    <row r="641">
      <c r="D641" s="309"/>
      <c r="E641" s="309"/>
      <c r="F641" s="309"/>
      <c r="G641" s="309"/>
      <c r="H641" s="309"/>
      <c r="I641" s="309"/>
    </row>
    <row r="642">
      <c r="D642" s="309"/>
      <c r="E642" s="309"/>
      <c r="F642" s="309"/>
      <c r="G642" s="309"/>
      <c r="H642" s="309"/>
      <c r="I642" s="309"/>
    </row>
    <row r="643">
      <c r="D643" s="309"/>
      <c r="E643" s="309"/>
      <c r="F643" s="309"/>
      <c r="G643" s="309"/>
      <c r="H643" s="309"/>
      <c r="I643" s="309"/>
    </row>
    <row r="644">
      <c r="D644" s="309"/>
      <c r="E644" s="309"/>
      <c r="F644" s="309"/>
      <c r="G644" s="309"/>
      <c r="H644" s="309"/>
      <c r="I644" s="309"/>
    </row>
    <row r="645">
      <c r="D645" s="309"/>
      <c r="E645" s="309"/>
      <c r="F645" s="309"/>
      <c r="G645" s="309"/>
      <c r="H645" s="309"/>
      <c r="I645" s="309"/>
    </row>
    <row r="646">
      <c r="D646" s="309"/>
      <c r="E646" s="309"/>
      <c r="F646" s="309"/>
      <c r="G646" s="309"/>
      <c r="H646" s="309"/>
      <c r="I646" s="309"/>
    </row>
    <row r="647">
      <c r="D647" s="309"/>
      <c r="E647" s="309"/>
      <c r="F647" s="309"/>
      <c r="G647" s="309"/>
      <c r="H647" s="309"/>
      <c r="I647" s="309"/>
    </row>
    <row r="648">
      <c r="D648" s="309"/>
      <c r="E648" s="309"/>
      <c r="F648" s="309"/>
      <c r="G648" s="309"/>
      <c r="H648" s="309"/>
      <c r="I648" s="309"/>
    </row>
    <row r="649">
      <c r="D649" s="309"/>
      <c r="E649" s="309"/>
      <c r="F649" s="309"/>
      <c r="G649" s="309"/>
      <c r="H649" s="309"/>
      <c r="I649" s="309"/>
    </row>
    <row r="650">
      <c r="D650" s="309"/>
      <c r="E650" s="309"/>
      <c r="F650" s="309"/>
      <c r="G650" s="309"/>
      <c r="H650" s="309"/>
      <c r="I650" s="309"/>
    </row>
    <row r="651">
      <c r="D651" s="309"/>
      <c r="E651" s="309"/>
      <c r="F651" s="309"/>
      <c r="G651" s="309"/>
      <c r="H651" s="309"/>
      <c r="I651" s="309"/>
    </row>
    <row r="652">
      <c r="D652" s="309"/>
      <c r="E652" s="309"/>
      <c r="F652" s="309"/>
      <c r="G652" s="309"/>
      <c r="H652" s="309"/>
      <c r="I652" s="309"/>
    </row>
    <row r="653">
      <c r="D653" s="309"/>
      <c r="E653" s="309"/>
      <c r="F653" s="309"/>
      <c r="G653" s="309"/>
      <c r="H653" s="309"/>
      <c r="I653" s="309"/>
    </row>
    <row r="654">
      <c r="D654" s="309"/>
      <c r="E654" s="309"/>
      <c r="F654" s="309"/>
      <c r="G654" s="309"/>
      <c r="H654" s="309"/>
      <c r="I654" s="309"/>
    </row>
    <row r="655">
      <c r="D655" s="309"/>
      <c r="E655" s="309"/>
      <c r="F655" s="309"/>
      <c r="G655" s="309"/>
      <c r="H655" s="309"/>
      <c r="I655" s="309"/>
    </row>
    <row r="656">
      <c r="D656" s="309"/>
      <c r="E656" s="309"/>
      <c r="F656" s="309"/>
      <c r="G656" s="309"/>
      <c r="H656" s="309"/>
      <c r="I656" s="309"/>
    </row>
    <row r="657">
      <c r="D657" s="309"/>
      <c r="E657" s="309"/>
      <c r="F657" s="309"/>
      <c r="G657" s="309"/>
      <c r="H657" s="309"/>
      <c r="I657" s="309"/>
    </row>
    <row r="658">
      <c r="D658" s="309"/>
      <c r="E658" s="309"/>
      <c r="F658" s="309"/>
      <c r="G658" s="309"/>
      <c r="H658" s="309"/>
      <c r="I658" s="309"/>
    </row>
    <row r="659">
      <c r="D659" s="309"/>
      <c r="E659" s="309"/>
      <c r="F659" s="309"/>
      <c r="G659" s="309"/>
      <c r="H659" s="309"/>
      <c r="I659" s="309"/>
    </row>
    <row r="660">
      <c r="D660" s="309"/>
      <c r="E660" s="309"/>
      <c r="F660" s="309"/>
      <c r="G660" s="309"/>
      <c r="H660" s="309"/>
      <c r="I660" s="309"/>
    </row>
    <row r="661">
      <c r="D661" s="309"/>
      <c r="E661" s="309"/>
      <c r="F661" s="309"/>
      <c r="G661" s="309"/>
      <c r="H661" s="309"/>
      <c r="I661" s="309"/>
    </row>
    <row r="662">
      <c r="D662" s="309"/>
      <c r="E662" s="309"/>
      <c r="F662" s="309"/>
      <c r="G662" s="309"/>
      <c r="H662" s="309"/>
      <c r="I662" s="309"/>
    </row>
    <row r="663">
      <c r="D663" s="309"/>
      <c r="E663" s="309"/>
      <c r="F663" s="309"/>
      <c r="G663" s="309"/>
      <c r="H663" s="309"/>
      <c r="I663" s="309"/>
    </row>
    <row r="664">
      <c r="D664" s="309"/>
      <c r="E664" s="309"/>
      <c r="F664" s="309"/>
      <c r="G664" s="309"/>
      <c r="H664" s="309"/>
      <c r="I664" s="309"/>
    </row>
    <row r="665">
      <c r="D665" s="309"/>
      <c r="E665" s="309"/>
      <c r="F665" s="309"/>
      <c r="G665" s="309"/>
      <c r="H665" s="309"/>
      <c r="I665" s="309"/>
    </row>
    <row r="666">
      <c r="D666" s="309"/>
      <c r="E666" s="309"/>
      <c r="F666" s="309"/>
      <c r="G666" s="309"/>
      <c r="H666" s="309"/>
      <c r="I666" s="309"/>
    </row>
    <row r="667">
      <c r="D667" s="309"/>
      <c r="E667" s="309"/>
      <c r="F667" s="309"/>
      <c r="G667" s="309"/>
      <c r="H667" s="309"/>
      <c r="I667" s="309"/>
    </row>
    <row r="668">
      <c r="D668" s="309"/>
      <c r="E668" s="309"/>
      <c r="F668" s="309"/>
      <c r="G668" s="309"/>
      <c r="H668" s="309"/>
      <c r="I668" s="309"/>
    </row>
    <row r="669">
      <c r="D669" s="309"/>
      <c r="E669" s="309"/>
      <c r="F669" s="309"/>
      <c r="G669" s="309"/>
      <c r="H669" s="309"/>
      <c r="I669" s="309"/>
    </row>
    <row r="670">
      <c r="D670" s="309"/>
      <c r="E670" s="309"/>
      <c r="F670" s="309"/>
      <c r="G670" s="309"/>
      <c r="H670" s="309"/>
      <c r="I670" s="309"/>
    </row>
    <row r="671">
      <c r="D671" s="309"/>
      <c r="E671" s="309"/>
      <c r="F671" s="309"/>
      <c r="G671" s="309"/>
      <c r="H671" s="309"/>
      <c r="I671" s="309"/>
    </row>
    <row r="672">
      <c r="D672" s="309"/>
      <c r="E672" s="309"/>
      <c r="F672" s="309"/>
      <c r="G672" s="309"/>
      <c r="H672" s="309"/>
      <c r="I672" s="309"/>
    </row>
    <row r="673">
      <c r="D673" s="309"/>
      <c r="E673" s="309"/>
      <c r="F673" s="309"/>
      <c r="G673" s="309"/>
      <c r="H673" s="309"/>
      <c r="I673" s="309"/>
    </row>
    <row r="674">
      <c r="D674" s="309"/>
      <c r="E674" s="309"/>
      <c r="F674" s="309"/>
      <c r="G674" s="309"/>
      <c r="H674" s="309"/>
      <c r="I674" s="309"/>
    </row>
    <row r="675">
      <c r="D675" s="309"/>
      <c r="E675" s="309"/>
      <c r="F675" s="309"/>
      <c r="G675" s="309"/>
      <c r="H675" s="309"/>
      <c r="I675" s="309"/>
    </row>
    <row r="676">
      <c r="D676" s="309"/>
      <c r="E676" s="309"/>
      <c r="F676" s="309"/>
      <c r="G676" s="309"/>
      <c r="H676" s="309"/>
      <c r="I676" s="309"/>
    </row>
    <row r="677">
      <c r="D677" s="309"/>
      <c r="E677" s="309"/>
      <c r="F677" s="309"/>
      <c r="G677" s="309"/>
      <c r="H677" s="309"/>
      <c r="I677" s="309"/>
    </row>
    <row r="678">
      <c r="D678" s="309"/>
      <c r="E678" s="309"/>
      <c r="F678" s="309"/>
      <c r="G678" s="309"/>
      <c r="H678" s="309"/>
      <c r="I678" s="309"/>
    </row>
    <row r="679">
      <c r="D679" s="309"/>
      <c r="E679" s="309"/>
      <c r="F679" s="309"/>
      <c r="G679" s="309"/>
      <c r="H679" s="309"/>
      <c r="I679" s="309"/>
    </row>
    <row r="680">
      <c r="D680" s="309"/>
      <c r="E680" s="309"/>
      <c r="F680" s="309"/>
      <c r="G680" s="309"/>
      <c r="H680" s="309"/>
      <c r="I680" s="309"/>
    </row>
    <row r="681">
      <c r="D681" s="309"/>
      <c r="E681" s="309"/>
      <c r="F681" s="309"/>
      <c r="G681" s="309"/>
      <c r="H681" s="309"/>
      <c r="I681" s="309"/>
    </row>
    <row r="682">
      <c r="D682" s="309"/>
      <c r="E682" s="309"/>
      <c r="F682" s="309"/>
      <c r="G682" s="309"/>
      <c r="H682" s="309"/>
      <c r="I682" s="309"/>
    </row>
    <row r="683">
      <c r="D683" s="309"/>
      <c r="E683" s="309"/>
      <c r="F683" s="309"/>
      <c r="G683" s="309"/>
      <c r="H683" s="309"/>
      <c r="I683" s="309"/>
    </row>
    <row r="684">
      <c r="D684" s="309"/>
      <c r="E684" s="309"/>
      <c r="F684" s="309"/>
      <c r="G684" s="309"/>
      <c r="H684" s="309"/>
      <c r="I684" s="309"/>
    </row>
    <row r="685">
      <c r="D685" s="309"/>
      <c r="E685" s="309"/>
      <c r="F685" s="309"/>
      <c r="G685" s="309"/>
      <c r="H685" s="309"/>
      <c r="I685" s="309"/>
    </row>
    <row r="686">
      <c r="D686" s="309"/>
      <c r="E686" s="309"/>
      <c r="F686" s="309"/>
      <c r="G686" s="309"/>
      <c r="H686" s="309"/>
      <c r="I686" s="309"/>
    </row>
    <row r="687">
      <c r="D687" s="309"/>
      <c r="E687" s="309"/>
      <c r="F687" s="309"/>
      <c r="G687" s="309"/>
      <c r="H687" s="309"/>
      <c r="I687" s="309"/>
    </row>
    <row r="688">
      <c r="D688" s="309"/>
      <c r="E688" s="309"/>
      <c r="F688" s="309"/>
      <c r="G688" s="309"/>
      <c r="H688" s="309"/>
      <c r="I688" s="309"/>
    </row>
    <row r="689">
      <c r="D689" s="309"/>
      <c r="E689" s="309"/>
      <c r="F689" s="309"/>
      <c r="G689" s="309"/>
      <c r="H689" s="309"/>
      <c r="I689" s="309"/>
    </row>
    <row r="690">
      <c r="D690" s="309"/>
      <c r="E690" s="309"/>
      <c r="F690" s="309"/>
      <c r="G690" s="309"/>
      <c r="H690" s="309"/>
      <c r="I690" s="309"/>
    </row>
    <row r="691">
      <c r="D691" s="309"/>
      <c r="E691" s="309"/>
      <c r="F691" s="309"/>
      <c r="G691" s="309"/>
      <c r="H691" s="309"/>
      <c r="I691" s="309"/>
    </row>
    <row r="692">
      <c r="D692" s="309"/>
      <c r="E692" s="309"/>
      <c r="F692" s="309"/>
      <c r="G692" s="309"/>
      <c r="H692" s="309"/>
      <c r="I692" s="309"/>
    </row>
    <row r="693">
      <c r="D693" s="309"/>
      <c r="E693" s="309"/>
      <c r="F693" s="309"/>
      <c r="G693" s="309"/>
      <c r="H693" s="309"/>
      <c r="I693" s="309"/>
    </row>
    <row r="694">
      <c r="D694" s="309"/>
      <c r="E694" s="309"/>
      <c r="F694" s="309"/>
      <c r="G694" s="309"/>
      <c r="H694" s="309"/>
      <c r="I694" s="309"/>
    </row>
    <row r="695">
      <c r="D695" s="309"/>
      <c r="E695" s="309"/>
      <c r="F695" s="309"/>
      <c r="G695" s="309"/>
      <c r="H695" s="309"/>
      <c r="I695" s="309"/>
    </row>
    <row r="696">
      <c r="D696" s="309"/>
      <c r="E696" s="309"/>
      <c r="F696" s="309"/>
      <c r="G696" s="309"/>
      <c r="H696" s="309"/>
      <c r="I696" s="309"/>
    </row>
    <row r="697">
      <c r="D697" s="309"/>
      <c r="E697" s="309"/>
      <c r="F697" s="309"/>
      <c r="G697" s="309"/>
      <c r="H697" s="309"/>
      <c r="I697" s="309"/>
    </row>
    <row r="698">
      <c r="D698" s="309"/>
      <c r="E698" s="309"/>
      <c r="F698" s="309"/>
      <c r="G698" s="309"/>
      <c r="H698" s="309"/>
      <c r="I698" s="309"/>
    </row>
    <row r="699">
      <c r="D699" s="309"/>
      <c r="E699" s="309"/>
      <c r="F699" s="309"/>
      <c r="G699" s="309"/>
      <c r="H699" s="309"/>
      <c r="I699" s="309"/>
    </row>
    <row r="700">
      <c r="D700" s="309"/>
      <c r="E700" s="309"/>
      <c r="F700" s="309"/>
      <c r="G700" s="309"/>
      <c r="H700" s="309"/>
      <c r="I700" s="309"/>
    </row>
    <row r="701">
      <c r="D701" s="309"/>
      <c r="E701" s="309"/>
      <c r="F701" s="309"/>
      <c r="G701" s="309"/>
      <c r="H701" s="309"/>
      <c r="I701" s="309"/>
    </row>
    <row r="702">
      <c r="D702" s="309"/>
      <c r="E702" s="309"/>
      <c r="F702" s="309"/>
      <c r="G702" s="309"/>
      <c r="H702" s="309"/>
      <c r="I702" s="309"/>
    </row>
    <row r="703">
      <c r="D703" s="309"/>
      <c r="E703" s="309"/>
      <c r="F703" s="309"/>
      <c r="G703" s="309"/>
      <c r="H703" s="309"/>
      <c r="I703" s="309"/>
    </row>
    <row r="704">
      <c r="D704" s="309"/>
      <c r="E704" s="309"/>
      <c r="F704" s="309"/>
      <c r="G704" s="309"/>
      <c r="H704" s="309"/>
      <c r="I704" s="309"/>
    </row>
    <row r="705">
      <c r="D705" s="309"/>
      <c r="E705" s="309"/>
      <c r="F705" s="309"/>
      <c r="G705" s="309"/>
      <c r="H705" s="309"/>
      <c r="I705" s="309"/>
    </row>
    <row r="706">
      <c r="D706" s="309"/>
      <c r="E706" s="309"/>
      <c r="F706" s="309"/>
      <c r="G706" s="309"/>
      <c r="H706" s="309"/>
      <c r="I706" s="309"/>
    </row>
    <row r="707">
      <c r="D707" s="309"/>
      <c r="E707" s="309"/>
      <c r="F707" s="309"/>
      <c r="G707" s="309"/>
      <c r="H707" s="309"/>
      <c r="I707" s="309"/>
    </row>
    <row r="708">
      <c r="D708" s="309"/>
      <c r="E708" s="309"/>
      <c r="F708" s="309"/>
      <c r="G708" s="309"/>
      <c r="H708" s="309"/>
      <c r="I708" s="309"/>
    </row>
    <row r="709">
      <c r="D709" s="309"/>
      <c r="E709" s="309"/>
      <c r="F709" s="309"/>
      <c r="G709" s="309"/>
      <c r="H709" s="309"/>
      <c r="I709" s="309"/>
    </row>
    <row r="710">
      <c r="D710" s="309"/>
      <c r="E710" s="309"/>
      <c r="F710" s="309"/>
      <c r="G710" s="309"/>
      <c r="H710" s="309"/>
      <c r="I710" s="309"/>
    </row>
    <row r="711">
      <c r="D711" s="309"/>
      <c r="E711" s="309"/>
      <c r="F711" s="309"/>
      <c r="G711" s="309"/>
      <c r="H711" s="309"/>
      <c r="I711" s="309"/>
    </row>
    <row r="712">
      <c r="D712" s="309"/>
      <c r="E712" s="309"/>
      <c r="F712" s="309"/>
      <c r="G712" s="309"/>
      <c r="H712" s="309"/>
      <c r="I712" s="309"/>
    </row>
    <row r="713">
      <c r="D713" s="309"/>
      <c r="E713" s="309"/>
      <c r="F713" s="309"/>
      <c r="G713" s="309"/>
      <c r="H713" s="309"/>
      <c r="I713" s="309"/>
    </row>
    <row r="714">
      <c r="D714" s="309"/>
      <c r="E714" s="309"/>
      <c r="F714" s="309"/>
      <c r="G714" s="309"/>
      <c r="H714" s="309"/>
      <c r="I714" s="309"/>
    </row>
    <row r="715">
      <c r="D715" s="309"/>
      <c r="E715" s="309"/>
      <c r="F715" s="309"/>
      <c r="G715" s="309"/>
      <c r="H715" s="309"/>
      <c r="I715" s="309"/>
    </row>
    <row r="716">
      <c r="D716" s="309"/>
      <c r="E716" s="309"/>
      <c r="F716" s="309"/>
      <c r="G716" s="309"/>
      <c r="H716" s="309"/>
      <c r="I716" s="309"/>
    </row>
    <row r="717">
      <c r="D717" s="309"/>
      <c r="E717" s="309"/>
      <c r="F717" s="309"/>
      <c r="G717" s="309"/>
      <c r="H717" s="309"/>
      <c r="I717" s="309"/>
    </row>
    <row r="718">
      <c r="D718" s="309"/>
      <c r="E718" s="309"/>
      <c r="F718" s="309"/>
      <c r="G718" s="309"/>
      <c r="H718" s="309"/>
      <c r="I718" s="309"/>
    </row>
    <row r="719">
      <c r="D719" s="309"/>
      <c r="E719" s="309"/>
      <c r="F719" s="309"/>
      <c r="G719" s="309"/>
      <c r="H719" s="309"/>
      <c r="I719" s="309"/>
    </row>
    <row r="720">
      <c r="D720" s="309"/>
      <c r="E720" s="309"/>
      <c r="F720" s="309"/>
      <c r="G720" s="309"/>
      <c r="H720" s="309"/>
      <c r="I720" s="309"/>
    </row>
    <row r="721">
      <c r="D721" s="309"/>
      <c r="E721" s="309"/>
      <c r="F721" s="309"/>
      <c r="G721" s="309"/>
      <c r="H721" s="309"/>
      <c r="I721" s="309"/>
    </row>
    <row r="722">
      <c r="D722" s="309"/>
      <c r="E722" s="309"/>
      <c r="F722" s="309"/>
      <c r="G722" s="309"/>
      <c r="H722" s="309"/>
      <c r="I722" s="309"/>
    </row>
    <row r="723">
      <c r="D723" s="309"/>
      <c r="E723" s="309"/>
      <c r="F723" s="309"/>
      <c r="G723" s="309"/>
      <c r="H723" s="309"/>
      <c r="I723" s="309"/>
    </row>
    <row r="724">
      <c r="D724" s="309"/>
      <c r="E724" s="309"/>
      <c r="F724" s="309"/>
      <c r="G724" s="309"/>
      <c r="H724" s="309"/>
      <c r="I724" s="309"/>
    </row>
    <row r="725">
      <c r="D725" s="309"/>
      <c r="E725" s="309"/>
      <c r="F725" s="309"/>
      <c r="G725" s="309"/>
      <c r="H725" s="309"/>
      <c r="I725" s="309"/>
    </row>
    <row r="726">
      <c r="D726" s="309"/>
      <c r="E726" s="309"/>
      <c r="F726" s="309"/>
      <c r="G726" s="309"/>
      <c r="H726" s="309"/>
      <c r="I726" s="309"/>
    </row>
    <row r="727">
      <c r="D727" s="309"/>
      <c r="E727" s="309"/>
      <c r="F727" s="309"/>
      <c r="G727" s="309"/>
      <c r="H727" s="309"/>
      <c r="I727" s="309"/>
    </row>
    <row r="728">
      <c r="D728" s="309"/>
      <c r="E728" s="309"/>
      <c r="F728" s="309"/>
      <c r="G728" s="309"/>
      <c r="H728" s="309"/>
      <c r="I728" s="309"/>
    </row>
    <row r="729">
      <c r="D729" s="309"/>
      <c r="E729" s="309"/>
      <c r="F729" s="309"/>
      <c r="G729" s="309"/>
      <c r="H729" s="309"/>
      <c r="I729" s="309"/>
    </row>
    <row r="730">
      <c r="D730" s="309"/>
      <c r="E730" s="309"/>
      <c r="F730" s="309"/>
      <c r="G730" s="309"/>
      <c r="H730" s="309"/>
      <c r="I730" s="309"/>
    </row>
    <row r="731">
      <c r="D731" s="309"/>
      <c r="E731" s="309"/>
      <c r="F731" s="309"/>
      <c r="G731" s="309"/>
      <c r="H731" s="309"/>
      <c r="I731" s="309"/>
    </row>
    <row r="732">
      <c r="D732" s="309"/>
      <c r="E732" s="309"/>
      <c r="F732" s="309"/>
      <c r="G732" s="309"/>
      <c r="H732" s="309"/>
      <c r="I732" s="309"/>
    </row>
    <row r="733">
      <c r="D733" s="309"/>
      <c r="E733" s="309"/>
      <c r="F733" s="309"/>
      <c r="G733" s="309"/>
      <c r="H733" s="309"/>
      <c r="I733" s="309"/>
    </row>
    <row r="734">
      <c r="D734" s="309"/>
      <c r="E734" s="309"/>
      <c r="F734" s="309"/>
      <c r="G734" s="309"/>
      <c r="H734" s="309"/>
      <c r="I734" s="309"/>
    </row>
    <row r="735">
      <c r="D735" s="309"/>
      <c r="E735" s="309"/>
      <c r="F735" s="309"/>
      <c r="G735" s="309"/>
      <c r="H735" s="309"/>
      <c r="I735" s="309"/>
    </row>
    <row r="736">
      <c r="D736" s="309"/>
      <c r="E736" s="309"/>
      <c r="F736" s="309"/>
      <c r="G736" s="309"/>
      <c r="H736" s="309"/>
      <c r="I736" s="309"/>
    </row>
    <row r="737">
      <c r="D737" s="309"/>
      <c r="E737" s="309"/>
      <c r="F737" s="309"/>
      <c r="G737" s="309"/>
      <c r="H737" s="309"/>
      <c r="I737" s="309"/>
    </row>
    <row r="738">
      <c r="D738" s="309"/>
      <c r="E738" s="309"/>
      <c r="F738" s="309"/>
      <c r="G738" s="309"/>
      <c r="H738" s="309"/>
      <c r="I738" s="309"/>
    </row>
    <row r="739">
      <c r="D739" s="309"/>
      <c r="E739" s="309"/>
      <c r="F739" s="309"/>
      <c r="G739" s="309"/>
      <c r="H739" s="309"/>
      <c r="I739" s="309"/>
    </row>
    <row r="740">
      <c r="D740" s="309"/>
      <c r="E740" s="309"/>
      <c r="F740" s="309"/>
      <c r="G740" s="309"/>
      <c r="H740" s="309"/>
      <c r="I740" s="309"/>
    </row>
    <row r="741">
      <c r="D741" s="309"/>
      <c r="E741" s="309"/>
      <c r="F741" s="309"/>
      <c r="G741" s="309"/>
      <c r="H741" s="309"/>
      <c r="I741" s="309"/>
    </row>
    <row r="742">
      <c r="D742" s="309"/>
      <c r="E742" s="309"/>
      <c r="F742" s="309"/>
      <c r="G742" s="309"/>
      <c r="H742" s="309"/>
      <c r="I742" s="309"/>
    </row>
    <row r="743">
      <c r="D743" s="309"/>
      <c r="E743" s="309"/>
      <c r="F743" s="309"/>
      <c r="G743" s="309"/>
      <c r="H743" s="309"/>
      <c r="I743" s="309"/>
    </row>
    <row r="744">
      <c r="D744" s="309"/>
      <c r="E744" s="309"/>
      <c r="F744" s="309"/>
      <c r="G744" s="309"/>
      <c r="H744" s="309"/>
      <c r="I744" s="309"/>
    </row>
    <row r="745">
      <c r="D745" s="309"/>
      <c r="E745" s="309"/>
      <c r="F745" s="309"/>
      <c r="G745" s="309"/>
      <c r="H745" s="309"/>
      <c r="I745" s="309"/>
    </row>
    <row r="746">
      <c r="D746" s="309"/>
      <c r="E746" s="309"/>
      <c r="F746" s="309"/>
      <c r="G746" s="309"/>
      <c r="H746" s="309"/>
      <c r="I746" s="309"/>
    </row>
    <row r="747">
      <c r="D747" s="309"/>
      <c r="E747" s="309"/>
      <c r="F747" s="309"/>
      <c r="G747" s="309"/>
      <c r="H747" s="309"/>
      <c r="I747" s="309"/>
    </row>
    <row r="748">
      <c r="D748" s="309"/>
      <c r="E748" s="309"/>
      <c r="F748" s="309"/>
      <c r="G748" s="309"/>
      <c r="H748" s="309"/>
      <c r="I748" s="309"/>
    </row>
    <row r="749">
      <c r="D749" s="309"/>
      <c r="E749" s="309"/>
      <c r="F749" s="309"/>
      <c r="G749" s="309"/>
      <c r="H749" s="309"/>
      <c r="I749" s="309"/>
    </row>
    <row r="750">
      <c r="D750" s="309"/>
      <c r="E750" s="309"/>
      <c r="F750" s="309"/>
      <c r="G750" s="309"/>
      <c r="H750" s="309"/>
      <c r="I750" s="309"/>
    </row>
    <row r="751">
      <c r="D751" s="309"/>
      <c r="E751" s="309"/>
      <c r="F751" s="309"/>
      <c r="G751" s="309"/>
      <c r="H751" s="309"/>
      <c r="I751" s="309"/>
    </row>
    <row r="752">
      <c r="D752" s="309"/>
      <c r="E752" s="309"/>
      <c r="F752" s="309"/>
      <c r="G752" s="309"/>
      <c r="H752" s="309"/>
      <c r="I752" s="309"/>
    </row>
    <row r="753">
      <c r="D753" s="309"/>
      <c r="E753" s="309"/>
      <c r="F753" s="309"/>
      <c r="G753" s="309"/>
      <c r="H753" s="309"/>
      <c r="I753" s="309"/>
    </row>
    <row r="754">
      <c r="D754" s="309"/>
      <c r="E754" s="309"/>
      <c r="F754" s="309"/>
      <c r="G754" s="309"/>
      <c r="H754" s="309"/>
      <c r="I754" s="309"/>
    </row>
    <row r="755">
      <c r="D755" s="309"/>
      <c r="E755" s="309"/>
      <c r="F755" s="309"/>
      <c r="G755" s="309"/>
      <c r="H755" s="309"/>
      <c r="I755" s="309"/>
    </row>
    <row r="756">
      <c r="D756" s="309"/>
      <c r="E756" s="309"/>
      <c r="F756" s="309"/>
      <c r="G756" s="309"/>
      <c r="H756" s="309"/>
      <c r="I756" s="309"/>
    </row>
    <row r="757">
      <c r="D757" s="309"/>
      <c r="E757" s="309"/>
      <c r="F757" s="309"/>
      <c r="G757" s="309"/>
      <c r="H757" s="309"/>
      <c r="I757" s="309"/>
    </row>
    <row r="758">
      <c r="D758" s="309"/>
      <c r="E758" s="309"/>
      <c r="F758" s="309"/>
      <c r="G758" s="309"/>
      <c r="H758" s="309"/>
      <c r="I758" s="309"/>
    </row>
    <row r="759">
      <c r="D759" s="309"/>
      <c r="E759" s="309"/>
      <c r="F759" s="309"/>
      <c r="G759" s="309"/>
      <c r="H759" s="309"/>
      <c r="I759" s="309"/>
    </row>
    <row r="760">
      <c r="D760" s="309"/>
      <c r="E760" s="309"/>
      <c r="F760" s="309"/>
      <c r="G760" s="309"/>
      <c r="H760" s="309"/>
      <c r="I760" s="309"/>
    </row>
    <row r="761">
      <c r="D761" s="309"/>
      <c r="E761" s="309"/>
      <c r="F761" s="309"/>
      <c r="G761" s="309"/>
      <c r="H761" s="309"/>
      <c r="I761" s="309"/>
    </row>
    <row r="762">
      <c r="D762" s="309"/>
      <c r="E762" s="309"/>
      <c r="F762" s="309"/>
      <c r="G762" s="309"/>
      <c r="H762" s="309"/>
      <c r="I762" s="309"/>
    </row>
    <row r="763">
      <c r="D763" s="309"/>
      <c r="E763" s="309"/>
      <c r="F763" s="309"/>
      <c r="G763" s="309"/>
      <c r="H763" s="309"/>
      <c r="I763" s="309"/>
    </row>
    <row r="764">
      <c r="D764" s="309"/>
      <c r="E764" s="309"/>
      <c r="F764" s="309"/>
      <c r="G764" s="309"/>
      <c r="H764" s="309"/>
      <c r="I764" s="309"/>
    </row>
    <row r="765">
      <c r="D765" s="309"/>
      <c r="E765" s="309"/>
      <c r="F765" s="309"/>
      <c r="G765" s="309"/>
      <c r="H765" s="309"/>
      <c r="I765" s="309"/>
    </row>
    <row r="766">
      <c r="D766" s="309"/>
      <c r="E766" s="309"/>
      <c r="F766" s="309"/>
      <c r="G766" s="309"/>
      <c r="H766" s="309"/>
      <c r="I766" s="309"/>
    </row>
    <row r="767">
      <c r="D767" s="309"/>
      <c r="E767" s="309"/>
      <c r="F767" s="309"/>
      <c r="G767" s="309"/>
      <c r="H767" s="309"/>
      <c r="I767" s="309"/>
    </row>
    <row r="768">
      <c r="D768" s="309"/>
      <c r="E768" s="309"/>
      <c r="F768" s="309"/>
      <c r="G768" s="309"/>
      <c r="H768" s="309"/>
      <c r="I768" s="309"/>
    </row>
    <row r="769">
      <c r="D769" s="309"/>
      <c r="E769" s="309"/>
      <c r="F769" s="309"/>
      <c r="G769" s="309"/>
      <c r="H769" s="309"/>
      <c r="I769" s="309"/>
    </row>
  </sheetData>
  <mergeCells count="302">
    <mergeCell ref="D44:H44"/>
    <mergeCell ref="G45:H45"/>
    <mergeCell ref="G46:H46"/>
    <mergeCell ref="G47:H47"/>
    <mergeCell ref="G48:H48"/>
    <mergeCell ref="E49:H49"/>
    <mergeCell ref="E50:H50"/>
    <mergeCell ref="E51:F51"/>
    <mergeCell ref="E52:F52"/>
    <mergeCell ref="E53:F53"/>
    <mergeCell ref="D54:H54"/>
    <mergeCell ref="G55:H55"/>
    <mergeCell ref="G56:H56"/>
    <mergeCell ref="G57:H57"/>
    <mergeCell ref="C2:I2"/>
    <mergeCell ref="D3:H3"/>
    <mergeCell ref="D4:H4"/>
    <mergeCell ref="G5:H5"/>
    <mergeCell ref="G6:H6"/>
    <mergeCell ref="G7:H7"/>
    <mergeCell ref="G8:H8"/>
    <mergeCell ref="E9:H9"/>
    <mergeCell ref="E10:H10"/>
    <mergeCell ref="E11:F11"/>
    <mergeCell ref="E12:F12"/>
    <mergeCell ref="E13:F13"/>
    <mergeCell ref="D14:H14"/>
    <mergeCell ref="G15:H15"/>
    <mergeCell ref="G16:H16"/>
    <mergeCell ref="G17:H17"/>
    <mergeCell ref="G18:H18"/>
    <mergeCell ref="E19:H19"/>
    <mergeCell ref="E20:H20"/>
    <mergeCell ref="E21:F21"/>
    <mergeCell ref="E22:F22"/>
    <mergeCell ref="E23:F23"/>
    <mergeCell ref="D24:H24"/>
    <mergeCell ref="G25:H25"/>
    <mergeCell ref="G26:H26"/>
    <mergeCell ref="G27:H27"/>
    <mergeCell ref="G28:H28"/>
    <mergeCell ref="E29:H29"/>
    <mergeCell ref="E30:H30"/>
    <mergeCell ref="E31:F31"/>
    <mergeCell ref="E32:F32"/>
    <mergeCell ref="E33:F33"/>
    <mergeCell ref="D34:H34"/>
    <mergeCell ref="G35:H35"/>
    <mergeCell ref="G36:H36"/>
    <mergeCell ref="G37:H37"/>
    <mergeCell ref="G38:H38"/>
    <mergeCell ref="E39:H39"/>
    <mergeCell ref="E40:H40"/>
    <mergeCell ref="E41:F41"/>
    <mergeCell ref="E42:F42"/>
    <mergeCell ref="E43:F43"/>
    <mergeCell ref="G58:H58"/>
    <mergeCell ref="E59:H59"/>
    <mergeCell ref="E60:H60"/>
    <mergeCell ref="E61:F61"/>
    <mergeCell ref="E62:F62"/>
    <mergeCell ref="E63:F63"/>
    <mergeCell ref="D64:H64"/>
    <mergeCell ref="G65:H65"/>
    <mergeCell ref="G66:H66"/>
    <mergeCell ref="G67:H67"/>
    <mergeCell ref="G68:H68"/>
    <mergeCell ref="E69:H69"/>
    <mergeCell ref="E70:H70"/>
    <mergeCell ref="E71:F71"/>
    <mergeCell ref="E72:F72"/>
    <mergeCell ref="E73:F73"/>
    <mergeCell ref="D74:H74"/>
    <mergeCell ref="G75:H75"/>
    <mergeCell ref="G76:H76"/>
    <mergeCell ref="G77:H77"/>
    <mergeCell ref="G78:H78"/>
    <mergeCell ref="E79:H79"/>
    <mergeCell ref="E80:H80"/>
    <mergeCell ref="E81:F81"/>
    <mergeCell ref="E82:F82"/>
    <mergeCell ref="E83:F83"/>
    <mergeCell ref="D84:H84"/>
    <mergeCell ref="G85:H85"/>
    <mergeCell ref="G86:H86"/>
    <mergeCell ref="G87:H87"/>
    <mergeCell ref="G88:H88"/>
    <mergeCell ref="E89:H89"/>
    <mergeCell ref="E90:H90"/>
    <mergeCell ref="E91:F91"/>
    <mergeCell ref="E92:F92"/>
    <mergeCell ref="E93:F93"/>
    <mergeCell ref="D94:H94"/>
    <mergeCell ref="G95:H95"/>
    <mergeCell ref="G96:H96"/>
    <mergeCell ref="G97:H97"/>
    <mergeCell ref="G98:H98"/>
    <mergeCell ref="E99:H99"/>
    <mergeCell ref="E100:H100"/>
    <mergeCell ref="E101:F101"/>
    <mergeCell ref="E102:F102"/>
    <mergeCell ref="E103:F103"/>
    <mergeCell ref="D104:H104"/>
    <mergeCell ref="G105:H105"/>
    <mergeCell ref="G106:H106"/>
    <mergeCell ref="G107:H107"/>
    <mergeCell ref="G108:H108"/>
    <mergeCell ref="E109:H109"/>
    <mergeCell ref="E110:H110"/>
    <mergeCell ref="E111:F111"/>
    <mergeCell ref="E112:F112"/>
    <mergeCell ref="E113:F113"/>
    <mergeCell ref="D114:H114"/>
    <mergeCell ref="G115:H115"/>
    <mergeCell ref="G116:H116"/>
    <mergeCell ref="G117:H117"/>
    <mergeCell ref="G118:H118"/>
    <mergeCell ref="E119:H119"/>
    <mergeCell ref="E120:H120"/>
    <mergeCell ref="E121:F121"/>
    <mergeCell ref="E122:F122"/>
    <mergeCell ref="E123:F123"/>
    <mergeCell ref="D124:H124"/>
    <mergeCell ref="G125:H125"/>
    <mergeCell ref="G126:H126"/>
    <mergeCell ref="G127:H127"/>
    <mergeCell ref="G128:H128"/>
    <mergeCell ref="E129:H129"/>
    <mergeCell ref="E130:H130"/>
    <mergeCell ref="E131:F131"/>
    <mergeCell ref="E132:F132"/>
    <mergeCell ref="E133:F133"/>
    <mergeCell ref="D134:H134"/>
    <mergeCell ref="G135:H135"/>
    <mergeCell ref="G136:H136"/>
    <mergeCell ref="G137:H137"/>
    <mergeCell ref="G138:H138"/>
    <mergeCell ref="E139:H139"/>
    <mergeCell ref="E140:H140"/>
    <mergeCell ref="E141:F141"/>
    <mergeCell ref="E142:F142"/>
    <mergeCell ref="E143:F143"/>
    <mergeCell ref="D144:H144"/>
    <mergeCell ref="G145:H145"/>
    <mergeCell ref="G146:H146"/>
    <mergeCell ref="G147:H147"/>
    <mergeCell ref="G148:H148"/>
    <mergeCell ref="E149:H149"/>
    <mergeCell ref="E150:H150"/>
    <mergeCell ref="E151:F151"/>
    <mergeCell ref="E152:F152"/>
    <mergeCell ref="E153:F153"/>
    <mergeCell ref="D154:H154"/>
    <mergeCell ref="G155:H155"/>
    <mergeCell ref="G156:H156"/>
    <mergeCell ref="G157:H157"/>
    <mergeCell ref="G158:H158"/>
    <mergeCell ref="E159:H159"/>
    <mergeCell ref="E160:H160"/>
    <mergeCell ref="E161:F161"/>
    <mergeCell ref="E162:F162"/>
    <mergeCell ref="E163:F163"/>
    <mergeCell ref="D164:H164"/>
    <mergeCell ref="G165:H165"/>
    <mergeCell ref="G166:H166"/>
    <mergeCell ref="G167:H167"/>
    <mergeCell ref="G168:H168"/>
    <mergeCell ref="E169:H169"/>
    <mergeCell ref="E170:H170"/>
    <mergeCell ref="E171:F171"/>
    <mergeCell ref="E172:F172"/>
    <mergeCell ref="E173:F173"/>
    <mergeCell ref="D174:H174"/>
    <mergeCell ref="G175:H175"/>
    <mergeCell ref="G176:H176"/>
    <mergeCell ref="G177:H177"/>
    <mergeCell ref="G178:H178"/>
    <mergeCell ref="E179:H179"/>
    <mergeCell ref="E180:H180"/>
    <mergeCell ref="E181:F181"/>
    <mergeCell ref="E182:F182"/>
    <mergeCell ref="E183:F183"/>
    <mergeCell ref="D184:H184"/>
    <mergeCell ref="G185:H185"/>
    <mergeCell ref="G186:H186"/>
    <mergeCell ref="G187:H187"/>
    <mergeCell ref="G188:H188"/>
    <mergeCell ref="E189:H189"/>
    <mergeCell ref="E190:H190"/>
    <mergeCell ref="E191:F191"/>
    <mergeCell ref="E192:F192"/>
    <mergeCell ref="E193:F193"/>
    <mergeCell ref="D194:H194"/>
    <mergeCell ref="G195:H195"/>
    <mergeCell ref="G196:H196"/>
    <mergeCell ref="G197:H197"/>
    <mergeCell ref="G198:H198"/>
    <mergeCell ref="E199:H199"/>
    <mergeCell ref="E200:H200"/>
    <mergeCell ref="E201:F201"/>
    <mergeCell ref="E202:F202"/>
    <mergeCell ref="E203:F203"/>
    <mergeCell ref="D204:H204"/>
    <mergeCell ref="G205:H205"/>
    <mergeCell ref="G206:H206"/>
    <mergeCell ref="G207:H207"/>
    <mergeCell ref="G208:H208"/>
    <mergeCell ref="E209:H209"/>
    <mergeCell ref="E210:H210"/>
    <mergeCell ref="E211:F211"/>
    <mergeCell ref="D254:H254"/>
    <mergeCell ref="G255:H255"/>
    <mergeCell ref="G256:H256"/>
    <mergeCell ref="G257:H257"/>
    <mergeCell ref="G258:H258"/>
    <mergeCell ref="E259:H259"/>
    <mergeCell ref="E260:H260"/>
    <mergeCell ref="E261:F261"/>
    <mergeCell ref="E262:F262"/>
    <mergeCell ref="E263:F263"/>
    <mergeCell ref="D264:H264"/>
    <mergeCell ref="G265:H265"/>
    <mergeCell ref="G266:H266"/>
    <mergeCell ref="G267:H267"/>
    <mergeCell ref="G275:H275"/>
    <mergeCell ref="G276:H276"/>
    <mergeCell ref="G277:H277"/>
    <mergeCell ref="G278:H278"/>
    <mergeCell ref="E279:H279"/>
    <mergeCell ref="E280:H280"/>
    <mergeCell ref="E281:F281"/>
    <mergeCell ref="E282:F282"/>
    <mergeCell ref="E283:F283"/>
    <mergeCell ref="D284:H284"/>
    <mergeCell ref="G285:H285"/>
    <mergeCell ref="G286:H286"/>
    <mergeCell ref="G287:H287"/>
    <mergeCell ref="G288:H288"/>
    <mergeCell ref="G296:H296"/>
    <mergeCell ref="G297:H297"/>
    <mergeCell ref="G298:H298"/>
    <mergeCell ref="E299:H299"/>
    <mergeCell ref="E300:H300"/>
    <mergeCell ref="E301:F301"/>
    <mergeCell ref="E302:F302"/>
    <mergeCell ref="E303:F303"/>
    <mergeCell ref="E289:H289"/>
    <mergeCell ref="E290:H290"/>
    <mergeCell ref="E291:F291"/>
    <mergeCell ref="E292:F292"/>
    <mergeCell ref="E293:F293"/>
    <mergeCell ref="D294:H294"/>
    <mergeCell ref="G295:H295"/>
    <mergeCell ref="E212:F212"/>
    <mergeCell ref="E213:F213"/>
    <mergeCell ref="D214:H214"/>
    <mergeCell ref="G215:H215"/>
    <mergeCell ref="G216:H216"/>
    <mergeCell ref="G217:H217"/>
    <mergeCell ref="G218:H218"/>
    <mergeCell ref="E219:H219"/>
    <mergeCell ref="E220:H220"/>
    <mergeCell ref="E221:F221"/>
    <mergeCell ref="E222:F222"/>
    <mergeCell ref="E223:F223"/>
    <mergeCell ref="D224:H224"/>
    <mergeCell ref="G225:H225"/>
    <mergeCell ref="G226:H226"/>
    <mergeCell ref="G227:H227"/>
    <mergeCell ref="G228:H228"/>
    <mergeCell ref="E229:H229"/>
    <mergeCell ref="E230:H230"/>
    <mergeCell ref="E231:F231"/>
    <mergeCell ref="E232:F232"/>
    <mergeCell ref="E233:F233"/>
    <mergeCell ref="D234:H234"/>
    <mergeCell ref="G235:H235"/>
    <mergeCell ref="G236:H236"/>
    <mergeCell ref="G237:H237"/>
    <mergeCell ref="G238:H238"/>
    <mergeCell ref="E239:H239"/>
    <mergeCell ref="E240:H240"/>
    <mergeCell ref="E241:F241"/>
    <mergeCell ref="E242:F242"/>
    <mergeCell ref="E243:F243"/>
    <mergeCell ref="D244:H244"/>
    <mergeCell ref="G245:H245"/>
    <mergeCell ref="G246:H246"/>
    <mergeCell ref="G247:H247"/>
    <mergeCell ref="G248:H248"/>
    <mergeCell ref="E249:H249"/>
    <mergeCell ref="E250:H250"/>
    <mergeCell ref="E251:F251"/>
    <mergeCell ref="E252:F252"/>
    <mergeCell ref="E253:F253"/>
    <mergeCell ref="G268:H268"/>
    <mergeCell ref="E269:H269"/>
    <mergeCell ref="E270:H270"/>
    <mergeCell ref="E271:F271"/>
    <mergeCell ref="E272:F272"/>
    <mergeCell ref="E273:F273"/>
    <mergeCell ref="D274:H274"/>
  </mergeCells>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3" priority="1" operator="equal">
      <formula>"A"</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4" priority="2" operator="equal">
      <formula>"B"</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5" priority="3" operator="equal">
      <formula>"C1"</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6" priority="4" operator="equal">
      <formula>"C2"</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7" priority="5" operator="equal">
      <formula>"D"</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8" priority="6" operator="equal">
      <formula>"R"</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9" priority="7" operator="equal">
      <formula>"N"</formula>
    </cfRule>
  </conditionalFormatting>
  <printOptions gridLines="1" horizontalCentered="1"/>
  <pageMargins bottom="0.75" footer="0.0" header="0.0" left="0.7" right="0.7" top="0.75"/>
  <pageSetup fitToHeight="0" paperSize="9" cellComments="atEnd" orientation="portrait" pageOrder="overThenDown"/>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75"/>
  <cols>
    <col customWidth="1" hidden="1" min="1" max="1" width="4.25"/>
    <col customWidth="1" hidden="1" min="2" max="2" width="7.13"/>
    <col customWidth="1" min="3" max="3" width="1.75"/>
    <col customWidth="1" min="4" max="8" width="6.38"/>
    <col customWidth="1" min="9" max="9" width="0.38"/>
  </cols>
  <sheetData>
    <row r="1" ht="25.5" hidden="1" customHeight="1"/>
    <row r="2" ht="6.0" customHeight="1">
      <c r="B2" s="268"/>
      <c r="C2" s="268"/>
    </row>
    <row r="3" ht="48.0" customHeight="1">
      <c r="D3" s="311" t="s">
        <v>114</v>
      </c>
    </row>
    <row r="4" ht="20.25" customHeight="1">
      <c r="D4" s="270">
        <f>NOW()</f>
        <v>46082.17201</v>
      </c>
    </row>
    <row r="5" ht="27.0" customHeight="1">
      <c r="A5" s="86" t="s">
        <v>71</v>
      </c>
      <c r="B5" s="86">
        <v>1.0</v>
      </c>
      <c r="D5" s="271" t="s">
        <v>80</v>
      </c>
      <c r="E5" s="272" t="s">
        <v>81</v>
      </c>
      <c r="F5" s="272" t="s">
        <v>82</v>
      </c>
      <c r="G5" s="273" t="s">
        <v>49</v>
      </c>
      <c r="H5" s="274"/>
    </row>
    <row r="6" ht="27.0" customHeight="1">
      <c r="A6" s="86"/>
      <c r="D6" s="275">
        <f t="array" ref="D6">IFERROR(INDEX('計測入力シート（ここのみ編集可）'!$BN$17:$BN$116,MATCH(A5&amp;B5,'計測入力シート（ここのみ編集可）'!$BO$17:$BO$116,0)),"")</f>
        <v>1</v>
      </c>
      <c r="E6" s="276" t="str">
        <f t="array" ref="E6">IFERROR(INDEX('計測入力シート（ここのみ編集可）'!$BP$17:$BP$116,MATCH(A5&amp;B5,'計測入力シート（ここのみ編集可）'!$BO$17:$BO$116,0)),"")</f>
        <v>-</v>
      </c>
      <c r="F6" s="277" t="str">
        <f t="array" ref="F6">IFERROR(INDEX('計測入力シート（ここのみ編集可）'!$BR$17:$BR$116,MATCH(A5&amp;B5,'計測入力シート（ここのみ編集可）'!$BO$17:$BO$116,0)),"")</f>
        <v>-</v>
      </c>
      <c r="G6" s="278">
        <f t="array" ref="G6">IFERROR(INDEX('計測入力シート（ここのみ編集可）'!$BL$17:$BL$116,MATCH(A5&amp;B5,'計測入力シート（ここのみ編集可）'!$BO$17:$BO$116,0)),"")</f>
        <v>5</v>
      </c>
      <c r="H6" s="279"/>
    </row>
    <row r="7" ht="27.0" customHeight="1">
      <c r="D7" s="280" t="s">
        <v>2</v>
      </c>
      <c r="E7" s="281">
        <f t="array" ref="E7">IFERROR(INDEX('計測入力シート（ここのみ編集可）'!$C$17:$C$116,MATCH(A5&amp;B5,'計測入力シート（ここのみ編集可）'!$BO$17:$BO$116,0)),"")</f>
        <v>44</v>
      </c>
      <c r="F7" s="282" t="s">
        <v>17</v>
      </c>
      <c r="G7" s="283" t="str">
        <f t="array" ref="G7">IFERROR(INDEX('計測入力シート（ここのみ編集可）'!$D$17:$D$116,MATCH(A5&amp;B5,'計測入力シート（ここのみ編集可）'!$BO$17:$BO$116,0)),"")</f>
        <v>TOKICO</v>
      </c>
      <c r="H7" s="284"/>
    </row>
    <row r="8" ht="27.0" customHeight="1">
      <c r="D8" s="285" t="s">
        <v>1</v>
      </c>
      <c r="E8" s="286" t="str">
        <f t="array" ref="E8">IFERROR(INDEX('計測入力シート（ここのみ編集可）'!$B$17:$B$116,MATCH(A5&amp;B5,'計測入力シート（ここのみ編集可）'!$BO$17:$BO$116,0)),"")</f>
        <v>C1</v>
      </c>
      <c r="F8" s="287" t="s">
        <v>18</v>
      </c>
      <c r="G8" s="288" t="str">
        <f t="array" ref="G8">IFERROR(INDEX('計測入力シート（ここのみ編集可）'!$E$17:$E$116,MATCH(A5&amp;B5,'計測入力シート（ここのみ編集可）'!$BO$17:$BO$116,0)),"")</f>
        <v>GSX-R1000</v>
      </c>
      <c r="H8" s="289"/>
    </row>
    <row r="9" ht="24.75" customHeight="1">
      <c r="D9" s="290" t="s">
        <v>92</v>
      </c>
      <c r="E9" s="291" t="str">
        <f t="array" ref="E9">IFERROR(INDEX(#REF!,MATCH(A5&amp;B5,'計測入力シート（ここのみ編集可）'!$BO$17:$BO$116,0)),"")</f>
        <v/>
      </c>
      <c r="H9" s="232"/>
    </row>
    <row r="10" ht="52.5" customHeight="1">
      <c r="D10" s="292" t="s">
        <v>100</v>
      </c>
      <c r="E10" s="293" t="str">
        <f t="array" ref="E10">IFERROR(INDEX(#REF!,MATCH(A5&amp;B5,'計測入力シート（ここのみ編集可）'!$BO$17:$BO$116,0)),"")</f>
        <v/>
      </c>
      <c r="F10" s="95"/>
      <c r="G10" s="95"/>
      <c r="H10" s="96"/>
    </row>
    <row r="11" ht="20.25" customHeight="1">
      <c r="D11" s="294" t="s">
        <v>39</v>
      </c>
      <c r="E11" s="295" t="str">
        <f t="array" ref="E11">IFERROR(INDEX('計測入力シート（ここのみ編集可）'!$AW$17:$AW$116,MATCH(A5&amp;B5,'計測入力シート（ここのみ編集可）'!$BO$17:$BO$116,0)),"")</f>
        <v>1:51:173</v>
      </c>
      <c r="F11" s="296"/>
      <c r="G11" s="297" t="s">
        <v>110</v>
      </c>
      <c r="H11" s="298" t="str">
        <f t="array" ref="H11">IFERROR(INDEX('計測入力シート（ここのみ編集可）'!$AY$17:$AY$116,MATCH(A5&amp;B5,'計測入力シート（ここのみ編集可）'!$BO$17:$BO$116,0)),"")</f>
        <v>-</v>
      </c>
    </row>
    <row r="12" ht="20.25" customHeight="1">
      <c r="D12" s="299" t="s">
        <v>42</v>
      </c>
      <c r="E12" s="300" t="str">
        <f t="array" ref="E12">IFERROR(INDEX('計測入力シート（ここのみ編集可）'!$AZ$17:$AZ$116,MATCH(A5&amp;B5,'計測入力シート（ここのみ編集可）'!$BO$17:$BO$116,0)),"")</f>
        <v>1:42:366</v>
      </c>
      <c r="F12" s="116"/>
      <c r="G12" s="301" t="s">
        <v>111</v>
      </c>
      <c r="H12" s="302" t="str">
        <f t="array" ref="H12">IFERROR(INDEX('計測入力シート（ここのみ編集可）'!$BB$17:$BB$116,MATCH(A5&amp;B5,'計測入力シート（ここのみ編集可）'!$BO$17:$BO$116,0)),"")</f>
        <v>-</v>
      </c>
    </row>
    <row r="13" ht="20.25" customHeight="1">
      <c r="D13" s="303" t="s">
        <v>112</v>
      </c>
      <c r="E13" s="304" t="str">
        <f t="array" ref="E13">IFERROR(INDEX('計測入力シート（ここのみ編集可）'!$BC$17:$BC$116,MATCH(A5&amp;B5,'計測入力シート（ここのみ編集可）'!$BO$17:$BO$116,0)),"")</f>
        <v>1:42:366</v>
      </c>
      <c r="F13" s="305"/>
      <c r="G13" s="306" t="s">
        <v>25</v>
      </c>
      <c r="H13" s="307">
        <f t="array" ref="H13">IFERROR(INDEX('計測入力シート（ここのみ編集可）'!$BD$17:$BD$116,MATCH(A5&amp;B5,'計測入力シート（ここのみ編集可）'!$BO$17:$BO$116,0)),"")</f>
        <v>1.048767494</v>
      </c>
    </row>
    <row r="14" ht="20.25" customHeight="1">
      <c r="D14" s="308"/>
    </row>
    <row r="15" ht="27.0" customHeight="1">
      <c r="A15" s="52" t="str">
        <f>A5</f>
        <v>C1</v>
      </c>
      <c r="B15" s="52">
        <f>B5+1</f>
        <v>2</v>
      </c>
      <c r="D15" s="271" t="s">
        <v>80</v>
      </c>
      <c r="E15" s="272" t="s">
        <v>81</v>
      </c>
      <c r="F15" s="272" t="s">
        <v>82</v>
      </c>
      <c r="G15" s="273" t="s">
        <v>49</v>
      </c>
      <c r="H15" s="274"/>
    </row>
    <row r="16" ht="27.0" customHeight="1">
      <c r="A16" s="86"/>
      <c r="B16" s="86"/>
      <c r="D16" s="275">
        <f t="array" ref="D16">IFERROR(INDEX('計測入力シート（ここのみ編集可）'!$BN$17:$BN$116,MATCH(A15&amp;B15,'計測入力シート（ここのみ編集可）'!$BO$17:$BO$116,0)),"")</f>
        <v>2</v>
      </c>
      <c r="E16" s="276" t="str">
        <f t="array" ref="E16">IFERROR(INDEX('計測入力シート（ここのみ編集可）'!$BP$17:$BP$116,MATCH(A15&amp;B15,'計測入力シート（ここのみ編集可）'!$BO$17:$BO$116,0)),"")</f>
        <v>-</v>
      </c>
      <c r="F16" s="277" t="str">
        <f t="array" ref="F16">IFERROR(INDEX('計測入力シート（ここのみ編集可）'!$BR$17:$BR$116,MATCH(A15&amp;B15,'計測入力シート（ここのみ編集可）'!$BO$17:$BO$116,0)),"")</f>
        <v>-</v>
      </c>
      <c r="G16" s="278">
        <f t="array" ref="G16">IFERROR(INDEX('計測入力シート（ここのみ編集可）'!$BL$17:$BL$116,MATCH(A15&amp;B15,'計測入力シート（ここのみ編集可）'!$BO$17:$BO$116,0)),"")</f>
        <v>7</v>
      </c>
      <c r="H16" s="279"/>
    </row>
    <row r="17" ht="27.0" customHeight="1">
      <c r="D17" s="280" t="s">
        <v>2</v>
      </c>
      <c r="E17" s="281">
        <f t="array" ref="E17">IFERROR(INDEX('計測入力シート（ここのみ編集可）'!$C$17:$C$116,MATCH(A15&amp;B15,'計測入力シート（ここのみ編集可）'!$BO$17:$BO$116,0)),"")</f>
        <v>46</v>
      </c>
      <c r="F17" s="282" t="s">
        <v>17</v>
      </c>
      <c r="G17" s="283" t="str">
        <f t="array" ref="G17">IFERROR(INDEX('計測入力シート（ここのみ編集可）'!$D$17:$D$116,MATCH(A15&amp;B15,'計測入力シート（ここのみ編集可）'!$BO$17:$BO$116,0)),"")</f>
        <v>しょこら。</v>
      </c>
      <c r="H17" s="284"/>
    </row>
    <row r="18" ht="27.0" customHeight="1">
      <c r="D18" s="285" t="s">
        <v>1</v>
      </c>
      <c r="E18" s="286" t="str">
        <f t="array" ref="E18">IFERROR(INDEX('計測入力シート（ここのみ編集可）'!$B$17:$B$116,MATCH(A15&amp;B15,'計測入力シート（ここのみ編集可）'!$BO$17:$BO$116,0)),"")</f>
        <v>C1</v>
      </c>
      <c r="F18" s="287" t="s">
        <v>18</v>
      </c>
      <c r="G18" s="288" t="str">
        <f t="array" ref="G18">IFERROR(INDEX('計測入力シート（ここのみ編集可）'!$E$17:$E$116,MATCH(A15&amp;B15,'計測入力シート（ここのみ編集可）'!$BO$17:$BO$116,0)),"")</f>
        <v>GSX-R600</v>
      </c>
      <c r="H18" s="289"/>
    </row>
    <row r="19" ht="24.75" customHeight="1">
      <c r="D19" s="290" t="s">
        <v>92</v>
      </c>
      <c r="E19" s="291" t="str">
        <f t="array" ref="E19">IFERROR(INDEX(#REF!,MATCH(A15&amp;B15,'計測入力シート（ここのみ編集可）'!$BO$17:$BO$116,0)),"")</f>
        <v/>
      </c>
      <c r="H19" s="232"/>
    </row>
    <row r="20" ht="52.5" customHeight="1">
      <c r="D20" s="292" t="s">
        <v>100</v>
      </c>
      <c r="E20" s="293" t="str">
        <f t="array" ref="E20">IFERROR(INDEX(#REF!,MATCH(A15&amp;B15,'計測入力シート（ここのみ編集可）'!$BO$17:$BO$116,0)),"")</f>
        <v/>
      </c>
      <c r="F20" s="95"/>
      <c r="G20" s="95"/>
      <c r="H20" s="96"/>
    </row>
    <row r="21" ht="20.25" customHeight="1">
      <c r="D21" s="294" t="s">
        <v>39</v>
      </c>
      <c r="E21" s="295" t="str">
        <f t="array" ref="E21">IFERROR(INDEX('計測入力シート（ここのみ編集可）'!$AW$17:$AW$116,MATCH(A15&amp;B15,'計測入力シート（ここのみ編集可）'!$BO$17:$BO$116,0)),"")</f>
        <v>1:44:866</v>
      </c>
      <c r="F21" s="296"/>
      <c r="G21" s="297" t="s">
        <v>110</v>
      </c>
      <c r="H21" s="298">
        <f t="array" ref="H21">IFERROR(INDEX('計測入力シート（ここのみ編集可）'!$AY$17:$AY$116,MATCH(A15&amp;B15,'計測入力シート（ここのみ編集可）'!$BO$17:$BO$116,0)),"")</f>
        <v>1</v>
      </c>
    </row>
    <row r="22" ht="20.25" customHeight="1">
      <c r="D22" s="299" t="s">
        <v>42</v>
      </c>
      <c r="E22" s="300" t="str">
        <f t="array" ref="E22">IFERROR(INDEX('計測入力シート（ここのみ編集可）'!$AZ$17:$AZ$116,MATCH(A15&amp;B15,'計測入力シート（ここのみ編集可）'!$BO$17:$BO$116,0)),"")</f>
        <v>1:44:224</v>
      </c>
      <c r="F22" s="116"/>
      <c r="G22" s="301" t="s">
        <v>111</v>
      </c>
      <c r="H22" s="302" t="str">
        <f t="array" ref="H22">IFERROR(INDEX('計測入力シート（ここのみ編集可）'!$BB$17:$BB$116,MATCH(A15&amp;B15,'計測入力シート（ここのみ編集可）'!$BO$17:$BO$116,0)),"")</f>
        <v>-</v>
      </c>
    </row>
    <row r="23" ht="20.25" customHeight="1">
      <c r="D23" s="303" t="s">
        <v>112</v>
      </c>
      <c r="E23" s="304" t="str">
        <f t="array" ref="E23">IFERROR(INDEX('計測入力シート（ここのみ編集可）'!$BC$17:$BC$116,MATCH(A15&amp;B15,'計測入力シート（ここのみ編集可）'!$BO$17:$BO$116,0)),"")</f>
        <v>1:44:224</v>
      </c>
      <c r="F23" s="305"/>
      <c r="G23" s="306" t="s">
        <v>25</v>
      </c>
      <c r="H23" s="307">
        <f t="array" ref="H23">IFERROR(INDEX('計測入力シート（ここのみ編集可）'!$BD$17:$BD$116,MATCH(A15&amp;B15,'計測入力シート（ここのみ編集可）'!$BO$17:$BO$116,0)),"")</f>
        <v>1.067803209</v>
      </c>
    </row>
    <row r="24" ht="20.25" customHeight="1">
      <c r="D24" s="308"/>
    </row>
    <row r="25" ht="27.0" customHeight="1">
      <c r="A25" s="52" t="str">
        <f>A15</f>
        <v>C1</v>
      </c>
      <c r="B25" s="52">
        <f>B15+1</f>
        <v>3</v>
      </c>
      <c r="D25" s="271" t="s">
        <v>80</v>
      </c>
      <c r="E25" s="272" t="s">
        <v>81</v>
      </c>
      <c r="F25" s="272" t="s">
        <v>82</v>
      </c>
      <c r="G25" s="273" t="s">
        <v>49</v>
      </c>
      <c r="H25" s="274"/>
    </row>
    <row r="26" ht="27.0" customHeight="1">
      <c r="A26" s="86"/>
      <c r="B26" s="86"/>
      <c r="D26" s="275">
        <f t="array" ref="D26">IFERROR(INDEX('計測入力シート（ここのみ編集可）'!$BN$17:$BN$116,MATCH(A25&amp;B25,'計測入力シート（ここのみ編集可）'!$BO$17:$BO$116,0)),"")</f>
        <v>3</v>
      </c>
      <c r="E26" s="276" t="str">
        <f t="array" ref="E26">IFERROR(INDEX('計測入力シート（ここのみ編集可）'!$BP$17:$BP$116,MATCH(A25&amp;B25,'計測入力シート（ここのみ編集可）'!$BO$17:$BO$116,0)),"")</f>
        <v>-</v>
      </c>
      <c r="F26" s="277" t="str">
        <f t="array" ref="F26">IFERROR(INDEX('計測入力シート（ここのみ編集可）'!$BR$17:$BR$116,MATCH(A25&amp;B25,'計測入力シート（ここのみ編集可）'!$BO$17:$BO$116,0)),"")</f>
        <v>-</v>
      </c>
      <c r="G26" s="278">
        <f t="array" ref="G26">IFERROR(INDEX('計測入力シート（ここのみ編集可）'!$BL$17:$BL$116,MATCH(A25&amp;B25,'計測入力シート（ここのみ編集可）'!$BO$17:$BO$116,0)),"")</f>
        <v>9</v>
      </c>
      <c r="H26" s="279"/>
    </row>
    <row r="27" ht="27.0" customHeight="1">
      <c r="D27" s="280" t="s">
        <v>2</v>
      </c>
      <c r="E27" s="281">
        <f t="array" ref="E27">IFERROR(INDEX('計測入力シート（ここのみ編集可）'!$C$17:$C$116,MATCH(A25&amp;B25,'計測入力シート（ここのみ編集可）'!$BO$17:$BO$116,0)),"")</f>
        <v>47</v>
      </c>
      <c r="F27" s="282" t="s">
        <v>17</v>
      </c>
      <c r="G27" s="283" t="str">
        <f t="array" ref="G27">IFERROR(INDEX('計測入力シート（ここのみ編集可）'!$D$17:$D$116,MATCH(A25&amp;B25,'計測入力シート（ここのみ編集可）'!$BO$17:$BO$116,0)),"")</f>
        <v>角</v>
      </c>
      <c r="H27" s="284"/>
    </row>
    <row r="28" ht="27.0" customHeight="1">
      <c r="D28" s="285" t="s">
        <v>1</v>
      </c>
      <c r="E28" s="286" t="str">
        <f t="array" ref="E28">IFERROR(INDEX('計測入力シート（ここのみ編集可）'!$B$17:$B$116,MATCH(A25&amp;B25,'計測入力シート（ここのみ編集可）'!$BO$17:$BO$116,0)),"")</f>
        <v>C1</v>
      </c>
      <c r="F28" s="287" t="s">
        <v>18</v>
      </c>
      <c r="G28" s="288" t="str">
        <f t="array" ref="G28">IFERROR(INDEX('計測入力シート（ここのみ編集可）'!$E$17:$E$116,MATCH(A25&amp;B25,'計測入力シート（ここのみ編集可）'!$BO$17:$BO$116,0)),"")</f>
        <v>SV650</v>
      </c>
      <c r="H28" s="289"/>
    </row>
    <row r="29" ht="24.75" customHeight="1">
      <c r="D29" s="290" t="s">
        <v>92</v>
      </c>
      <c r="E29" s="291" t="str">
        <f t="array" ref="E29">IFERROR(INDEX(#REF!,MATCH(A25&amp;B25,'計測入力シート（ここのみ編集可）'!$BO$17:$BO$116,0)),"")</f>
        <v/>
      </c>
      <c r="H29" s="232"/>
    </row>
    <row r="30" ht="52.5" customHeight="1">
      <c r="D30" s="292" t="s">
        <v>100</v>
      </c>
      <c r="E30" s="293" t="str">
        <f t="array" ref="E30">IFERROR(INDEX(#REF!,MATCH(A25&amp;B25,'計測入力シート（ここのみ編集可）'!$BO$17:$BO$116,0)),"")</f>
        <v/>
      </c>
      <c r="F30" s="95"/>
      <c r="G30" s="95"/>
      <c r="H30" s="96"/>
    </row>
    <row r="31" ht="20.25" customHeight="1">
      <c r="D31" s="294" t="s">
        <v>39</v>
      </c>
      <c r="E31" s="295" t="str">
        <f t="array" ref="E31">IFERROR(INDEX('計測入力シート（ここのみ編集可）'!$AW$17:$AW$116,MATCH(A25&amp;B25,'計測入力シート（ここのみ編集可）'!$BO$17:$BO$116,0)),"")</f>
        <v>1:43:467</v>
      </c>
      <c r="F31" s="296"/>
      <c r="G31" s="297" t="s">
        <v>110</v>
      </c>
      <c r="H31" s="298">
        <f t="array" ref="H31">IFERROR(INDEX('計測入力シート（ここのみ編集可）'!$AY$17:$AY$116,MATCH(A25&amp;B25,'計測入力シート（ここのみ編集可）'!$BO$17:$BO$116,0)),"")</f>
        <v>2</v>
      </c>
    </row>
    <row r="32" ht="20.25" customHeight="1">
      <c r="D32" s="299" t="s">
        <v>42</v>
      </c>
      <c r="E32" s="300" t="str">
        <f t="array" ref="E32">IFERROR(INDEX('計測入力シート（ここのみ編集可）'!$AZ$17:$AZ$116,MATCH(A25&amp;B25,'計測入力シート（ここのみ編集可）'!$BO$17:$BO$116,0)),"")</f>
        <v>1:44:448</v>
      </c>
      <c r="F32" s="116"/>
      <c r="G32" s="301" t="s">
        <v>111</v>
      </c>
      <c r="H32" s="302">
        <f t="array" ref="H32">IFERROR(INDEX('計測入力シート（ここのみ編集可）'!$BB$17:$BB$116,MATCH(A25&amp;B25,'計測入力シート（ここのみ編集可）'!$BO$17:$BO$116,0)),"")</f>
        <v>1</v>
      </c>
    </row>
    <row r="33" ht="20.25" customHeight="1">
      <c r="D33" s="303" t="s">
        <v>112</v>
      </c>
      <c r="E33" s="304" t="str">
        <f t="array" ref="E33">IFERROR(INDEX('計測入力シート（ここのみ編集可）'!$BC$17:$BC$116,MATCH(A25&amp;B25,'計測入力シート（ここのみ編集可）'!$BO$17:$BO$116,0)),"")</f>
        <v>1:45:448</v>
      </c>
      <c r="F33" s="305"/>
      <c r="G33" s="306" t="s">
        <v>25</v>
      </c>
      <c r="H33" s="307">
        <f t="array" ref="H33">IFERROR(INDEX('計測入力シート（ここのみ編集可）'!$BD$17:$BD$116,MATCH(A25&amp;B25,'計測入力シート（ここのみ編集可）'!$BO$17:$BO$116,0)),"")</f>
        <v>1.080343422</v>
      </c>
    </row>
    <row r="34" ht="20.25" customHeight="1">
      <c r="D34" s="308"/>
    </row>
    <row r="35" ht="27.0" customHeight="1">
      <c r="A35" s="52" t="str">
        <f>A25</f>
        <v>C1</v>
      </c>
      <c r="B35" s="52">
        <f>B25+1</f>
        <v>4</v>
      </c>
      <c r="D35" s="271" t="s">
        <v>80</v>
      </c>
      <c r="E35" s="272" t="s">
        <v>81</v>
      </c>
      <c r="F35" s="272" t="s">
        <v>82</v>
      </c>
      <c r="G35" s="273" t="s">
        <v>49</v>
      </c>
      <c r="H35" s="274"/>
    </row>
    <row r="36" ht="27.0" customHeight="1">
      <c r="A36" s="86"/>
      <c r="B36" s="86"/>
      <c r="D36" s="275">
        <f t="array" ref="D36">IFERROR(INDEX('計測入力シート（ここのみ編集可）'!$BN$17:$BN$116,MATCH(A35&amp;B35,'計測入力シート（ここのみ編集可）'!$BO$17:$BO$116,0)),"")</f>
        <v>4</v>
      </c>
      <c r="E36" s="276" t="str">
        <f t="array" ref="E36">IFERROR(INDEX('計測入力シート（ここのみ編集可）'!$BP$17:$BP$116,MATCH(A35&amp;B35,'計測入力シート（ここのみ編集可）'!$BO$17:$BO$116,0)),"")</f>
        <v>-</v>
      </c>
      <c r="F36" s="277" t="str">
        <f t="array" ref="F36">IFERROR(INDEX('計測入力シート（ここのみ編集可）'!$BR$17:$BR$116,MATCH(A35&amp;B35,'計測入力シート（ここのみ編集可）'!$BO$17:$BO$116,0)),"")</f>
        <v>-</v>
      </c>
      <c r="G36" s="278">
        <f t="array" ref="G36">IFERROR(INDEX('計測入力シート（ここのみ編集可）'!$BL$17:$BL$116,MATCH(A35&amp;B35,'計測入力シート（ここのみ編集可）'!$BO$17:$BO$116,0)),"")</f>
        <v>10</v>
      </c>
      <c r="H36" s="279"/>
    </row>
    <row r="37" ht="27.0" customHeight="1">
      <c r="D37" s="280" t="s">
        <v>2</v>
      </c>
      <c r="E37" s="281">
        <f t="array" ref="E37">IFERROR(INDEX('計測入力シート（ここのみ編集可）'!$C$17:$C$116,MATCH(A35&amp;B35,'計測入力シート（ここのみ編集可）'!$BO$17:$BO$116,0)),"")</f>
        <v>41</v>
      </c>
      <c r="F37" s="282" t="s">
        <v>17</v>
      </c>
      <c r="G37" s="283" t="str">
        <f t="array" ref="G37">IFERROR(INDEX('計測入力シート（ここのみ編集可）'!$D$17:$D$116,MATCH(A35&amp;B35,'計測入力シート（ここのみ編集可）'!$BO$17:$BO$116,0)),"")</f>
        <v>たけし</v>
      </c>
      <c r="H37" s="284"/>
    </row>
    <row r="38" ht="27.0" customHeight="1">
      <c r="D38" s="285" t="s">
        <v>1</v>
      </c>
      <c r="E38" s="286" t="str">
        <f t="array" ref="E38">IFERROR(INDEX('計測入力シート（ここのみ編集可）'!$B$17:$B$116,MATCH(A35&amp;B35,'計測入力シート（ここのみ編集可）'!$BO$17:$BO$116,0)),"")</f>
        <v>C1</v>
      </c>
      <c r="F38" s="287" t="s">
        <v>18</v>
      </c>
      <c r="G38" s="288" t="str">
        <f t="array" ref="G38">IFERROR(INDEX('計測入力シート（ここのみ編集可）'!$E$17:$E$116,MATCH(A35&amp;B35,'計測入力シート（ここのみ編集可）'!$BO$17:$BO$116,0)),"")</f>
        <v>YZ250</v>
      </c>
      <c r="H38" s="289"/>
    </row>
    <row r="39" ht="24.75" customHeight="1">
      <c r="D39" s="290" t="s">
        <v>92</v>
      </c>
      <c r="E39" s="291" t="str">
        <f t="array" ref="E39">IFERROR(INDEX(#REF!,MATCH(A35&amp;B35,'計測入力シート（ここのみ編集可）'!$BO$17:$BO$116,0)),"")</f>
        <v/>
      </c>
      <c r="H39" s="232"/>
    </row>
    <row r="40" ht="52.5" customHeight="1">
      <c r="D40" s="292" t="s">
        <v>100</v>
      </c>
      <c r="E40" s="293" t="str">
        <f t="array" ref="E40">IFERROR(INDEX(#REF!,MATCH(A35&amp;B35,'計測入力シート（ここのみ編集可）'!$BO$17:$BO$116,0)),"")</f>
        <v/>
      </c>
      <c r="F40" s="95"/>
      <c r="G40" s="95"/>
      <c r="H40" s="96"/>
    </row>
    <row r="41" ht="20.25" customHeight="1">
      <c r="D41" s="294" t="s">
        <v>39</v>
      </c>
      <c r="E41" s="295" t="str">
        <f t="array" ref="E41">IFERROR(INDEX('計測入力シート（ここのみ編集可）'!$AW$17:$AW$116,MATCH(A35&amp;B35,'計測入力シート（ここのみ編集可）'!$BO$17:$BO$116,0)),"")</f>
        <v>1:45:500</v>
      </c>
      <c r="F41" s="296"/>
      <c r="G41" s="297" t="s">
        <v>110</v>
      </c>
      <c r="H41" s="298" t="str">
        <f t="array" ref="H41">IFERROR(INDEX('計測入力シート（ここのみ編集可）'!$AY$17:$AY$116,MATCH(A35&amp;B35,'計測入力シート（ここのみ編集可）'!$BO$17:$BO$116,0)),"")</f>
        <v>-</v>
      </c>
    </row>
    <row r="42" ht="20.25" customHeight="1">
      <c r="D42" s="299" t="s">
        <v>42</v>
      </c>
      <c r="E42" s="300" t="str">
        <f t="array" ref="E42">IFERROR(INDEX('計測入力シート（ここのみ編集可）'!$AZ$17:$AZ$116,MATCH(A35&amp;B35,'計測入力シート（ここのみ編集可）'!$BO$17:$BO$116,0)),"")</f>
        <v>9:99:999</v>
      </c>
      <c r="F42" s="116"/>
      <c r="G42" s="301" t="s">
        <v>111</v>
      </c>
      <c r="H42" s="302" t="str">
        <f t="array" ref="H42">IFERROR(INDEX('計測入力シート（ここのみ編集可）'!$BB$17:$BB$116,MATCH(A35&amp;B35,'計測入力シート（ここのみ編集可）'!$BO$17:$BO$116,0)),"")</f>
        <v>MC</v>
      </c>
    </row>
    <row r="43" ht="20.25" customHeight="1">
      <c r="D43" s="303" t="s">
        <v>112</v>
      </c>
      <c r="E43" s="304" t="str">
        <f t="array" ref="E43">IFERROR(INDEX('計測入力シート（ここのみ編集可）'!$BC$17:$BC$116,MATCH(A35&amp;B35,'計測入力シート（ここのみ編集可）'!$BO$17:$BO$116,0)),"")</f>
        <v>1:45:500</v>
      </c>
      <c r="F43" s="305"/>
      <c r="G43" s="306" t="s">
        <v>25</v>
      </c>
      <c r="H43" s="307">
        <f t="array" ref="H43">IFERROR(INDEX('計測入力シート（ここのみ編集可）'!$BD$17:$BD$116,MATCH(A35&amp;B35,'計測入力シート（ここのみ編集可）'!$BO$17:$BO$116,0)),"")</f>
        <v>1.080876176</v>
      </c>
    </row>
    <row r="44" ht="20.25" customHeight="1">
      <c r="D44" s="308"/>
    </row>
    <row r="45" ht="27.0" customHeight="1">
      <c r="A45" s="52" t="str">
        <f>A35</f>
        <v>C1</v>
      </c>
      <c r="B45" s="52">
        <f>B35+1</f>
        <v>5</v>
      </c>
      <c r="D45" s="271" t="s">
        <v>80</v>
      </c>
      <c r="E45" s="272" t="s">
        <v>81</v>
      </c>
      <c r="F45" s="272" t="s">
        <v>82</v>
      </c>
      <c r="G45" s="273" t="s">
        <v>49</v>
      </c>
      <c r="H45" s="274"/>
    </row>
    <row r="46" ht="27.0" customHeight="1">
      <c r="A46" s="86"/>
      <c r="B46" s="86"/>
      <c r="D46" s="275">
        <f t="array" ref="D46">IFERROR(INDEX('計測入力シート（ここのみ編集可）'!$BN$17:$BN$116,MATCH(A45&amp;B45,'計測入力シート（ここのみ編集可）'!$BO$17:$BO$116,0)),"")</f>
        <v>5</v>
      </c>
      <c r="E46" s="276" t="str">
        <f t="array" ref="E46">IFERROR(INDEX('計測入力シート（ここのみ編集可）'!$BP$17:$BP$116,MATCH(A45&amp;B45,'計測入力シート（ここのみ編集可）'!$BO$17:$BO$116,0)),"")</f>
        <v>-</v>
      </c>
      <c r="F46" s="277" t="str">
        <f t="array" ref="F46">IFERROR(INDEX('計測入力シート（ここのみ編集可）'!$BR$17:$BR$116,MATCH(A45&amp;B45,'計測入力シート（ここのみ編集可）'!$BO$17:$BO$116,0)),"")</f>
        <v>-</v>
      </c>
      <c r="G46" s="278">
        <f t="array" ref="G46">IFERROR(INDEX('計測入力シート（ここのみ編集可）'!$BL$17:$BL$116,MATCH(A45&amp;B45,'計測入力シート（ここのみ編集可）'!$BO$17:$BO$116,0)),"")</f>
        <v>11</v>
      </c>
      <c r="H46" s="279"/>
    </row>
    <row r="47" ht="27.0" customHeight="1">
      <c r="D47" s="280" t="s">
        <v>2</v>
      </c>
      <c r="E47" s="281">
        <f t="array" ref="E47">IFERROR(INDEX('計測入力シート（ここのみ編集可）'!$C$17:$C$116,MATCH(A45&amp;B45,'計測入力シート（ここのみ編集可）'!$BO$17:$BO$116,0)),"")</f>
        <v>45</v>
      </c>
      <c r="F47" s="282" t="s">
        <v>17</v>
      </c>
      <c r="G47" s="283" t="str">
        <f t="array" ref="G47">IFERROR(INDEX('計測入力シート（ここのみ編集可）'!$D$17:$D$116,MATCH(A45&amp;B45,'計測入力シート（ここのみ編集可）'!$BO$17:$BO$116,0)),"")</f>
        <v>まろ</v>
      </c>
      <c r="H47" s="284"/>
    </row>
    <row r="48" ht="27.0" customHeight="1">
      <c r="D48" s="285" t="s">
        <v>1</v>
      </c>
      <c r="E48" s="286" t="str">
        <f t="array" ref="E48">IFERROR(INDEX('計測入力シート（ここのみ編集可）'!$B$17:$B$116,MATCH(A45&amp;B45,'計測入力シート（ここのみ編集可）'!$BO$17:$BO$116,0)),"")</f>
        <v>C1</v>
      </c>
      <c r="F48" s="287" t="s">
        <v>18</v>
      </c>
      <c r="G48" s="288" t="str">
        <f t="array" ref="G48">IFERROR(INDEX('計測入力シート（ここのみ編集可）'!$E$17:$E$116,MATCH(A45&amp;B45,'計測入力シート（ここのみ編集可）'!$BO$17:$BO$116,0)),"")</f>
        <v>MSX125改</v>
      </c>
      <c r="H48" s="289"/>
    </row>
    <row r="49" ht="24.75" customHeight="1">
      <c r="D49" s="290" t="s">
        <v>92</v>
      </c>
      <c r="E49" s="291" t="str">
        <f t="array" ref="E49">IFERROR(INDEX(#REF!,MATCH(A45&amp;B45,'計測入力シート（ここのみ編集可）'!$BO$17:$BO$116,0)),"")</f>
        <v/>
      </c>
      <c r="H49" s="232"/>
    </row>
    <row r="50" ht="52.5" customHeight="1">
      <c r="D50" s="292" t="s">
        <v>100</v>
      </c>
      <c r="E50" s="293" t="str">
        <f t="array" ref="E50">IFERROR(INDEX(#REF!,MATCH(A45&amp;B45,'計測入力シート（ここのみ編集可）'!$BO$17:$BO$116,0)),"")</f>
        <v/>
      </c>
      <c r="F50" s="95"/>
      <c r="G50" s="95"/>
      <c r="H50" s="96"/>
    </row>
    <row r="51" ht="20.25" customHeight="1">
      <c r="D51" s="294" t="s">
        <v>39</v>
      </c>
      <c r="E51" s="295" t="str">
        <f t="array" ref="E51">IFERROR(INDEX('計測入力シート（ここのみ編集可）'!$AW$17:$AW$116,MATCH(A45&amp;B45,'計測入力シート（ここのみ編集可）'!$BO$17:$BO$116,0)),"")</f>
        <v>1:46:217</v>
      </c>
      <c r="F51" s="296"/>
      <c r="G51" s="297" t="s">
        <v>110</v>
      </c>
      <c r="H51" s="298" t="str">
        <f t="array" ref="H51">IFERROR(INDEX('計測入力シート（ここのみ編集可）'!$AY$17:$AY$116,MATCH(A45&amp;B45,'計測入力シート（ここのみ編集可）'!$BO$17:$BO$116,0)),"")</f>
        <v>-</v>
      </c>
    </row>
    <row r="52" ht="20.25" customHeight="1">
      <c r="D52" s="299" t="s">
        <v>42</v>
      </c>
      <c r="E52" s="300" t="str">
        <f t="array" ref="E52">IFERROR(INDEX('計測入力シート（ここのみ編集可）'!$AZ$17:$AZ$116,MATCH(A45&amp;B45,'計測入力シート（ここのみ編集可）'!$BO$17:$BO$116,0)),"")</f>
        <v>1:46:801</v>
      </c>
      <c r="F52" s="116"/>
      <c r="G52" s="301" t="s">
        <v>111</v>
      </c>
      <c r="H52" s="302" t="str">
        <f t="array" ref="H52">IFERROR(INDEX('計測入力シート（ここのみ編集可）'!$BB$17:$BB$116,MATCH(A45&amp;B45,'計測入力シート（ここのみ編集可）'!$BO$17:$BO$116,0)),"")</f>
        <v>-</v>
      </c>
    </row>
    <row r="53" ht="20.25" customHeight="1">
      <c r="D53" s="303" t="s">
        <v>112</v>
      </c>
      <c r="E53" s="304" t="str">
        <f t="array" ref="E53">IFERROR(INDEX('計測入力シート（ここのみ編集可）'!$BC$17:$BC$116,MATCH(A45&amp;B45,'計測入力シート（ここのみ編集可）'!$BO$17:$BO$116,0)),"")</f>
        <v>1:46:217</v>
      </c>
      <c r="F53" s="305"/>
      <c r="G53" s="306" t="s">
        <v>25</v>
      </c>
      <c r="H53" s="307">
        <f t="array" ref="H53">IFERROR(INDEX('計測入力シート（ここのみ編集可）'!$BD$17:$BD$116,MATCH(A45&amp;B45,'計測入力シート（ここのみ編集可）'!$BO$17:$BO$116,0)),"")</f>
        <v>1.088222036</v>
      </c>
    </row>
    <row r="54" ht="20.25" customHeight="1">
      <c r="D54" s="308"/>
    </row>
    <row r="55" ht="27.0" customHeight="1">
      <c r="A55" s="52" t="str">
        <f>A45</f>
        <v>C1</v>
      </c>
      <c r="B55" s="52">
        <f>B45+1</f>
        <v>6</v>
      </c>
      <c r="D55" s="271" t="s">
        <v>80</v>
      </c>
      <c r="E55" s="272" t="s">
        <v>81</v>
      </c>
      <c r="F55" s="272" t="s">
        <v>82</v>
      </c>
      <c r="G55" s="273" t="s">
        <v>49</v>
      </c>
      <c r="H55" s="274"/>
    </row>
    <row r="56" ht="27.0" customHeight="1">
      <c r="A56" s="86"/>
      <c r="B56" s="86"/>
      <c r="D56" s="275">
        <f t="array" ref="D56">IFERROR(INDEX('計測入力シート（ここのみ編集可）'!$BN$17:$BN$116,MATCH(A55&amp;B55,'計測入力シート（ここのみ編集可）'!$BO$17:$BO$116,0)),"")</f>
        <v>6</v>
      </c>
      <c r="E56" s="276" t="str">
        <f t="array" ref="E56">IFERROR(INDEX('計測入力シート（ここのみ編集可）'!$BP$17:$BP$116,MATCH(A55&amp;B55,'計測入力シート（ここのみ編集可）'!$BO$17:$BO$116,0)),"")</f>
        <v>-</v>
      </c>
      <c r="F56" s="277" t="str">
        <f t="array" ref="F56">IFERROR(INDEX('計測入力シート（ここのみ編集可）'!$BR$17:$BR$116,MATCH(A55&amp;B55,'計測入力シート（ここのみ編集可）'!$BO$17:$BO$116,0)),"")</f>
        <v>-</v>
      </c>
      <c r="G56" s="278">
        <f t="array" ref="G56">IFERROR(INDEX('計測入力シート（ここのみ編集可）'!$BL$17:$BL$116,MATCH(A55&amp;B55,'計測入力シート（ここのみ編集可）'!$BO$17:$BO$116,0)),"")</f>
        <v>19</v>
      </c>
      <c r="H56" s="279"/>
    </row>
    <row r="57" ht="27.0" customHeight="1">
      <c r="D57" s="280" t="s">
        <v>2</v>
      </c>
      <c r="E57" s="281">
        <f t="array" ref="E57">IFERROR(INDEX('計測入力シート（ここのみ編集可）'!$C$17:$C$116,MATCH(A55&amp;B55,'計測入力シート（ここのみ編集可）'!$BO$17:$BO$116,0)),"")</f>
        <v>38</v>
      </c>
      <c r="F57" s="282" t="s">
        <v>17</v>
      </c>
      <c r="G57" s="283" t="str">
        <f t="array" ref="G57">IFERROR(INDEX('計測入力シート（ここのみ編集可）'!$D$17:$D$116,MATCH(A55&amp;B55,'計測入力シート（ここのみ編集可）'!$BO$17:$BO$116,0)),"")</f>
        <v>岡さーもん</v>
      </c>
      <c r="H57" s="284"/>
    </row>
    <row r="58" ht="27.0" customHeight="1">
      <c r="D58" s="285" t="s">
        <v>1</v>
      </c>
      <c r="E58" s="286" t="str">
        <f t="array" ref="E58">IFERROR(INDEX('計測入力シート（ここのみ編集可）'!$B$17:$B$116,MATCH(A55&amp;B55,'計測入力シート（ここのみ編集可）'!$BO$17:$BO$116,0)),"")</f>
        <v>C1</v>
      </c>
      <c r="F58" s="287" t="s">
        <v>18</v>
      </c>
      <c r="G58" s="288" t="str">
        <f t="array" ref="G58">IFERROR(INDEX('計測入力シート（ここのみ編集可）'!$E$17:$E$116,MATCH(A55&amp;B55,'計測入力シート（ここのみ編集可）'!$BO$17:$BO$116,0)),"")</f>
        <v>CBR600RR</v>
      </c>
      <c r="H58" s="289"/>
    </row>
    <row r="59" ht="24.75" customHeight="1">
      <c r="D59" s="290" t="s">
        <v>92</v>
      </c>
      <c r="E59" s="291" t="str">
        <f t="array" ref="E59">IFERROR(INDEX(#REF!,MATCH(A55&amp;B55,'計測入力シート（ここのみ編集可）'!$BO$17:$BO$116,0)),"")</f>
        <v/>
      </c>
      <c r="H59" s="232"/>
    </row>
    <row r="60" ht="52.5" customHeight="1">
      <c r="D60" s="292" t="s">
        <v>100</v>
      </c>
      <c r="E60" s="293" t="str">
        <f t="array" ref="E60">IFERROR(INDEX(#REF!,MATCH(A55&amp;B55,'計測入力シート（ここのみ編集可）'!$BO$17:$BO$116,0)),"")</f>
        <v/>
      </c>
      <c r="F60" s="95"/>
      <c r="G60" s="95"/>
      <c r="H60" s="96"/>
    </row>
    <row r="61" ht="20.25" customHeight="1">
      <c r="D61" s="294" t="s">
        <v>39</v>
      </c>
      <c r="E61" s="295" t="str">
        <f t="array" ref="E61">IFERROR(INDEX('計測入力シート（ここのみ編集可）'!$AW$17:$AW$116,MATCH(A55&amp;B55,'計測入力シート（ここのみ編集可）'!$BO$17:$BO$116,0)),"")</f>
        <v>9:99:999</v>
      </c>
      <c r="F61" s="296"/>
      <c r="G61" s="297" t="s">
        <v>110</v>
      </c>
      <c r="H61" s="298" t="str">
        <f t="array" ref="H61">IFERROR(INDEX('計測入力シート（ここのみ編集可）'!$AY$17:$AY$116,MATCH(A55&amp;B55,'計測入力シート（ここのみ編集可）'!$BO$17:$BO$116,0)),"")</f>
        <v>MC</v>
      </c>
    </row>
    <row r="62" ht="20.25" customHeight="1">
      <c r="D62" s="299" t="s">
        <v>42</v>
      </c>
      <c r="E62" s="300" t="str">
        <f t="array" ref="E62">IFERROR(INDEX('計測入力シート（ここのみ編集可）'!$AZ$17:$AZ$116,MATCH(A55&amp;B55,'計測入力シート（ここのみ編集可）'!$BO$17:$BO$116,0)),"")</f>
        <v>1:49:711</v>
      </c>
      <c r="F62" s="116"/>
      <c r="G62" s="301" t="s">
        <v>111</v>
      </c>
      <c r="H62" s="302" t="str">
        <f t="array" ref="H62">IFERROR(INDEX('計測入力シート（ここのみ編集可）'!$BB$17:$BB$116,MATCH(A55&amp;B55,'計測入力シート（ここのみ編集可）'!$BO$17:$BO$116,0)),"")</f>
        <v>-</v>
      </c>
    </row>
    <row r="63" ht="20.25" customHeight="1">
      <c r="D63" s="303" t="s">
        <v>112</v>
      </c>
      <c r="E63" s="304" t="str">
        <f t="array" ref="E63">IFERROR(INDEX('計測入力シート（ここのみ編集可）'!$BC$17:$BC$116,MATCH(A55&amp;B55,'計測入力シート（ここのみ編集可）'!$BO$17:$BO$116,0)),"")</f>
        <v>1:49:711</v>
      </c>
      <c r="F63" s="305"/>
      <c r="G63" s="306" t="s">
        <v>25</v>
      </c>
      <c r="H63" s="307">
        <f t="array" ref="H63">IFERROR(INDEX('計測入力シート（ここのみ編集可）'!$BD$17:$BD$116,MATCH(A55&amp;B55,'計測入力シート（ここのみ編集可）'!$BO$17:$BO$116,0)),"")</f>
        <v>1.124019015</v>
      </c>
    </row>
    <row r="64" ht="20.25" customHeight="1">
      <c r="D64" s="308"/>
    </row>
    <row r="65" ht="27.0" customHeight="1">
      <c r="A65" s="52" t="str">
        <f>A55</f>
        <v>C1</v>
      </c>
      <c r="B65" s="52">
        <f>B55+1</f>
        <v>7</v>
      </c>
      <c r="D65" s="271" t="s">
        <v>80</v>
      </c>
      <c r="E65" s="272" t="s">
        <v>81</v>
      </c>
      <c r="F65" s="272" t="s">
        <v>82</v>
      </c>
      <c r="G65" s="273" t="s">
        <v>49</v>
      </c>
      <c r="H65" s="274"/>
    </row>
    <row r="66" ht="27.0" customHeight="1">
      <c r="A66" s="86"/>
      <c r="B66" s="86"/>
      <c r="D66" s="275">
        <f t="array" ref="D66">IFERROR(INDEX('計測入力シート（ここのみ編集可）'!$BN$17:$BN$116,MATCH(A65&amp;B65,'計測入力シート（ここのみ編集可）'!$BO$17:$BO$116,0)),"")</f>
        <v>7</v>
      </c>
      <c r="E66" s="276" t="str">
        <f t="array" ref="E66">IFERROR(INDEX('計測入力シート（ここのみ編集可）'!$BP$17:$BP$116,MATCH(A65&amp;B65,'計測入力シート（ここのみ編集可）'!$BO$17:$BO$116,0)),"")</f>
        <v>-</v>
      </c>
      <c r="F66" s="277" t="str">
        <f t="array" ref="F66">IFERROR(INDEX('計測入力シート（ここのみ編集可）'!$BR$17:$BR$116,MATCH(A65&amp;B65,'計測入力シート（ここのみ編集可）'!$BO$17:$BO$116,0)),"")</f>
        <v>-</v>
      </c>
      <c r="G66" s="278">
        <f t="array" ref="G66">IFERROR(INDEX('計測入力シート（ここのみ編集可）'!$BL$17:$BL$116,MATCH(A65&amp;B65,'計測入力シート（ここのみ編集可）'!$BO$17:$BO$116,0)),"")</f>
        <v>20</v>
      </c>
      <c r="H66" s="279"/>
    </row>
    <row r="67" ht="27.0" customHeight="1">
      <c r="D67" s="280" t="s">
        <v>2</v>
      </c>
      <c r="E67" s="281">
        <f t="array" ref="E67">IFERROR(INDEX('計測入力シート（ここのみ編集可）'!$C$17:$C$116,MATCH(A65&amp;B65,'計測入力シート（ここのみ編集可）'!$BO$17:$BO$116,0)),"")</f>
        <v>43</v>
      </c>
      <c r="F67" s="282" t="s">
        <v>17</v>
      </c>
      <c r="G67" s="283" t="str">
        <f t="array" ref="G67">IFERROR(INDEX('計測入力シート（ここのみ編集可）'!$D$17:$D$116,MATCH(A65&amp;B65,'計測入力シート（ここのみ編集可）'!$BO$17:$BO$116,0)),"")</f>
        <v>とこ山とこ夫</v>
      </c>
      <c r="H67" s="284"/>
    </row>
    <row r="68" ht="27.0" customHeight="1">
      <c r="D68" s="285" t="s">
        <v>1</v>
      </c>
      <c r="E68" s="286" t="str">
        <f t="array" ref="E68">IFERROR(INDEX('計測入力シート（ここのみ編集可）'!$B$17:$B$116,MATCH(A65&amp;B65,'計測入力シート（ここのみ編集可）'!$BO$17:$BO$116,0)),"")</f>
        <v>C1</v>
      </c>
      <c r="F68" s="287" t="s">
        <v>18</v>
      </c>
      <c r="G68" s="288" t="str">
        <f t="array" ref="G68">IFERROR(INDEX('計測入力シート（ここのみ編集可）'!$E$17:$E$116,MATCH(A65&amp;B65,'計測入力シート（ここのみ編集可）'!$BO$17:$BO$116,0)),"")</f>
        <v>Z400</v>
      </c>
      <c r="H68" s="289"/>
    </row>
    <row r="69" ht="24.75" customHeight="1">
      <c r="D69" s="290" t="s">
        <v>92</v>
      </c>
      <c r="E69" s="291" t="str">
        <f t="array" ref="E69">IFERROR(INDEX(#REF!,MATCH(A65&amp;B65,'計測入力シート（ここのみ編集可）'!$BO$17:$BO$116,0)),"")</f>
        <v/>
      </c>
      <c r="H69" s="232"/>
    </row>
    <row r="70" ht="52.5" customHeight="1">
      <c r="D70" s="292" t="s">
        <v>100</v>
      </c>
      <c r="E70" s="293" t="str">
        <f t="array" ref="E70">IFERROR(INDEX(#REF!,MATCH(A65&amp;B65,'計測入力シート（ここのみ編集可）'!$BO$17:$BO$116,0)),"")</f>
        <v/>
      </c>
      <c r="F70" s="95"/>
      <c r="G70" s="95"/>
      <c r="H70" s="96"/>
    </row>
    <row r="71" ht="20.25" customHeight="1">
      <c r="D71" s="294" t="s">
        <v>39</v>
      </c>
      <c r="E71" s="295" t="str">
        <f t="array" ref="E71">IFERROR(INDEX('計測入力シート（ここのみ編集可）'!$AW$17:$AW$116,MATCH(A65&amp;B65,'計測入力シート（ここのみ編集可）'!$BO$17:$BO$116,0)),"")</f>
        <v>1:50:384</v>
      </c>
      <c r="F71" s="296"/>
      <c r="G71" s="297" t="s">
        <v>110</v>
      </c>
      <c r="H71" s="298" t="str">
        <f t="array" ref="H71">IFERROR(INDEX('計測入力シート（ここのみ編集可）'!$AY$17:$AY$116,MATCH(A65&amp;B65,'計測入力シート（ここのみ編集可）'!$BO$17:$BO$116,0)),"")</f>
        <v>-</v>
      </c>
    </row>
    <row r="72" ht="20.25" customHeight="1">
      <c r="D72" s="299" t="s">
        <v>42</v>
      </c>
      <c r="E72" s="300" t="str">
        <f t="array" ref="E72">IFERROR(INDEX('計測入力シート（ここのみ編集可）'!$AZ$17:$AZ$116,MATCH(A65&amp;B65,'計測入力シート（ここのみ編集可）'!$BO$17:$BO$116,0)),"")</f>
        <v>2:29:539</v>
      </c>
      <c r="F72" s="116"/>
      <c r="G72" s="301" t="s">
        <v>111</v>
      </c>
      <c r="H72" s="302" t="str">
        <f t="array" ref="H72">IFERROR(INDEX('計測入力シート（ここのみ編集可）'!$BB$17:$BB$116,MATCH(A65&amp;B65,'計測入力シート（ここのみ編集可）'!$BO$17:$BO$116,0)),"")</f>
        <v>-</v>
      </c>
    </row>
    <row r="73" ht="20.25" customHeight="1">
      <c r="D73" s="303" t="s">
        <v>112</v>
      </c>
      <c r="E73" s="304" t="str">
        <f t="array" ref="E73">IFERROR(INDEX('計測入力シート（ここのみ編集可）'!$BC$17:$BC$116,MATCH(A65&amp;B65,'計測入力シート（ここのみ編集可）'!$BO$17:$BO$116,0)),"")</f>
        <v>1:50:384</v>
      </c>
      <c r="F73" s="305"/>
      <c r="G73" s="306" t="s">
        <v>25</v>
      </c>
      <c r="H73" s="307">
        <f t="array" ref="H73">IFERROR(INDEX('計測入力シート（ここのみ編集可）'!$BD$17:$BD$116,MATCH(A65&amp;B65,'計測入力シート（ここのみ編集可）'!$BO$17:$BO$116,0)),"")</f>
        <v>1.130914083</v>
      </c>
    </row>
    <row r="74" ht="20.25" customHeight="1">
      <c r="D74" s="308"/>
    </row>
    <row r="75" ht="27.0" customHeight="1">
      <c r="A75" s="52" t="str">
        <f>A65</f>
        <v>C1</v>
      </c>
      <c r="B75" s="52">
        <f>B65+1</f>
        <v>8</v>
      </c>
      <c r="D75" s="271" t="s">
        <v>80</v>
      </c>
      <c r="E75" s="272" t="s">
        <v>81</v>
      </c>
      <c r="F75" s="272" t="s">
        <v>82</v>
      </c>
      <c r="G75" s="273" t="s">
        <v>49</v>
      </c>
      <c r="H75" s="274"/>
    </row>
    <row r="76" ht="27.0" customHeight="1">
      <c r="A76" s="86"/>
      <c r="B76" s="86"/>
      <c r="D76" s="275">
        <f t="array" ref="D76">IFERROR(INDEX('計測入力シート（ここのみ編集可）'!$BN$17:$BN$116,MATCH(A75&amp;B75,'計測入力シート（ここのみ編集可）'!$BO$17:$BO$116,0)),"")</f>
        <v>8</v>
      </c>
      <c r="E76" s="276" t="str">
        <f t="array" ref="E76">IFERROR(INDEX('計測入力シート（ここのみ編集可）'!$BP$17:$BP$116,MATCH(A75&amp;B75,'計測入力シート（ここのみ編集可）'!$BO$17:$BO$116,0)),"")</f>
        <v>-</v>
      </c>
      <c r="F76" s="277" t="str">
        <f t="array" ref="F76">IFERROR(INDEX('計測入力シート（ここのみ編集可）'!$BR$17:$BR$116,MATCH(A75&amp;B75,'計測入力シート（ここのみ編集可）'!$BO$17:$BO$116,0)),"")</f>
        <v>-</v>
      </c>
      <c r="G76" s="278">
        <f t="array" ref="G76">IFERROR(INDEX('計測入力シート（ここのみ編集可）'!$BL$17:$BL$116,MATCH(A75&amp;B75,'計測入力シート（ここのみ編集可）'!$BO$17:$BO$116,0)),"")</f>
        <v>41</v>
      </c>
      <c r="H76" s="279"/>
    </row>
    <row r="77" ht="27.0" customHeight="1">
      <c r="D77" s="280" t="s">
        <v>2</v>
      </c>
      <c r="E77" s="281">
        <f t="array" ref="E77">IFERROR(INDEX('計測入力シート（ここのみ編集可）'!$C$17:$C$116,MATCH(A75&amp;B75,'計測入力シート（ここのみ編集可）'!$BO$17:$BO$116,0)),"")</f>
        <v>40</v>
      </c>
      <c r="F77" s="282" t="s">
        <v>17</v>
      </c>
      <c r="G77" s="283" t="str">
        <f t="array" ref="G77">IFERROR(INDEX('計測入力シート（ここのみ編集可）'!$D$17:$D$116,MATCH(A75&amp;B75,'計測入力シート（ここのみ編集可）'!$BO$17:$BO$116,0)),"")</f>
        <v>組長</v>
      </c>
      <c r="H77" s="284"/>
    </row>
    <row r="78" ht="27.0" customHeight="1">
      <c r="D78" s="285" t="s">
        <v>1</v>
      </c>
      <c r="E78" s="286" t="str">
        <f t="array" ref="E78">IFERROR(INDEX('計測入力シート（ここのみ編集可）'!$B$17:$B$116,MATCH(A75&amp;B75,'計測入力シート（ここのみ編集可）'!$BO$17:$BO$116,0)),"")</f>
        <v>C1</v>
      </c>
      <c r="F78" s="287" t="s">
        <v>18</v>
      </c>
      <c r="G78" s="288" t="str">
        <f t="array" ref="G78">IFERROR(INDEX('計測入力シート（ここのみ編集可）'!$E$17:$E$116,MATCH(A75&amp;B75,'計測入力シート（ここのみ編集可）'!$BO$17:$BO$116,0)),"")</f>
        <v>GSX-R1000</v>
      </c>
      <c r="H78" s="289"/>
    </row>
    <row r="79" ht="24.75" customHeight="1">
      <c r="D79" s="290" t="s">
        <v>92</v>
      </c>
      <c r="E79" s="291" t="str">
        <f t="array" ref="E79">IFERROR(INDEX(#REF!,MATCH(A75&amp;B75,'計測入力シート（ここのみ編集可）'!$BO$17:$BO$116,0)),"")</f>
        <v/>
      </c>
      <c r="H79" s="232"/>
    </row>
    <row r="80" ht="52.5" customHeight="1">
      <c r="D80" s="292" t="s">
        <v>100</v>
      </c>
      <c r="E80" s="293" t="str">
        <f t="array" ref="E80">IFERROR(INDEX(#REF!,MATCH(A75&amp;B75,'計測入力シート（ここのみ編集可）'!$BO$17:$BO$116,0)),"")</f>
        <v/>
      </c>
      <c r="F80" s="95"/>
      <c r="G80" s="95"/>
      <c r="H80" s="96"/>
    </row>
    <row r="81" ht="20.25" customHeight="1">
      <c r="D81" s="294" t="s">
        <v>39</v>
      </c>
      <c r="E81" s="295" t="str">
        <f t="array" ref="E81">IFERROR(INDEX('計測入力シート（ここのみ編集可）'!$AW$17:$AW$116,MATCH(A75&amp;B75,'計測入力シート（ここのみ編集可）'!$BO$17:$BO$116,0)),"")</f>
        <v>2:08:005</v>
      </c>
      <c r="F81" s="296"/>
      <c r="G81" s="297" t="s">
        <v>110</v>
      </c>
      <c r="H81" s="298" t="str">
        <f t="array" ref="H81">IFERROR(INDEX('計測入力シート（ここのみ編集可）'!$AY$17:$AY$116,MATCH(A75&amp;B75,'計測入力シート（ここのみ編集可）'!$BO$17:$BO$116,0)),"")</f>
        <v>-</v>
      </c>
    </row>
    <row r="82" ht="20.25" customHeight="1">
      <c r="D82" s="299" t="s">
        <v>42</v>
      </c>
      <c r="E82" s="300" t="str">
        <f t="array" ref="E82">IFERROR(INDEX('計測入力シート（ここのみ編集可）'!$AZ$17:$AZ$116,MATCH(A75&amp;B75,'計測入力シート（ここのみ編集可）'!$BO$17:$BO$116,0)),"")</f>
        <v>2:00:926</v>
      </c>
      <c r="F82" s="116"/>
      <c r="G82" s="301" t="s">
        <v>111</v>
      </c>
      <c r="H82" s="302" t="str">
        <f t="array" ref="H82">IFERROR(INDEX('計測入力シート（ここのみ編集可）'!$BB$17:$BB$116,MATCH(A75&amp;B75,'計測入力シート（ここのみ編集可）'!$BO$17:$BO$116,0)),"")</f>
        <v>-</v>
      </c>
    </row>
    <row r="83" ht="20.25" customHeight="1">
      <c r="D83" s="303" t="s">
        <v>112</v>
      </c>
      <c r="E83" s="304" t="str">
        <f t="array" ref="E83">IFERROR(INDEX('計測入力シート（ここのみ編集可）'!$BC$17:$BC$116,MATCH(A75&amp;B75,'計測入力シート（ここのみ編集可）'!$BO$17:$BO$116,0)),"")</f>
        <v>2:00:926</v>
      </c>
      <c r="F83" s="305"/>
      <c r="G83" s="306" t="s">
        <v>25</v>
      </c>
      <c r="H83" s="307">
        <f t="array" ref="H83">IFERROR(INDEX('計測入力シート（ここのみ編集可）'!$BD$17:$BD$116,MATCH(A75&amp;B75,'計測入力シート（ここのみ編集可）'!$BO$17:$BO$116,0)),"")</f>
        <v>1.238919739</v>
      </c>
    </row>
    <row r="84" ht="20.25" customHeight="1">
      <c r="D84" s="308"/>
    </row>
    <row r="85" ht="27.0" customHeight="1">
      <c r="A85" s="52" t="str">
        <f>A75</f>
        <v>C1</v>
      </c>
      <c r="B85" s="52">
        <f>B75+1</f>
        <v>9</v>
      </c>
      <c r="D85" s="271" t="s">
        <v>80</v>
      </c>
      <c r="E85" s="272" t="s">
        <v>81</v>
      </c>
      <c r="F85" s="272" t="s">
        <v>82</v>
      </c>
      <c r="G85" s="273" t="s">
        <v>49</v>
      </c>
      <c r="H85" s="274"/>
    </row>
    <row r="86" ht="27.0" customHeight="1">
      <c r="A86" s="86"/>
      <c r="B86" s="86"/>
      <c r="D86" s="275" t="str">
        <f t="array" ref="D86">IFERROR(INDEX('計測入力シート（ここのみ編集可）'!$BN$17:$BN$116,MATCH(A85&amp;B85,'計測入力シート（ここのみ編集可）'!$BO$17:$BO$116,0)),"")</f>
        <v>-</v>
      </c>
      <c r="E86" s="276" t="str">
        <f t="array" ref="E86">IFERROR(INDEX('計測入力シート（ここのみ編集可）'!$BP$17:$BP$116,MATCH(A85&amp;B85,'計測入力シート（ここのみ編集可）'!$BO$17:$BO$116,0)),"")</f>
        <v>-</v>
      </c>
      <c r="F86" s="277" t="str">
        <f t="array" ref="F86">IFERROR(INDEX('計測入力シート（ここのみ編集可）'!$BR$17:$BR$116,MATCH(A85&amp;B85,'計測入力シート（ここのみ編集可）'!$BO$17:$BO$116,0)),"")</f>
        <v>-</v>
      </c>
      <c r="G86" s="278" t="str">
        <f t="array" ref="G86">IFERROR(INDEX('計測入力シート（ここのみ編集可）'!$BL$17:$BL$116,MATCH(A85&amp;B85,'計測入力シート（ここのみ編集可）'!$BO$17:$BO$116,0)),"")</f>
        <v>-</v>
      </c>
      <c r="H86" s="279"/>
    </row>
    <row r="87" ht="27.0" customHeight="1">
      <c r="D87" s="280" t="s">
        <v>2</v>
      </c>
      <c r="E87" s="281">
        <f t="array" ref="E87">IFERROR(INDEX('計測入力シート（ここのみ編集可）'!$C$17:$C$116,MATCH(A85&amp;B85,'計測入力シート（ここのみ編集可）'!$BO$17:$BO$116,0)),"")</f>
        <v>39</v>
      </c>
      <c r="F87" s="282" t="s">
        <v>17</v>
      </c>
      <c r="G87" s="283" t="str">
        <f t="array" ref="G87">IFERROR(INDEX('計測入力シート（ここのみ編集可）'!$D$17:$D$116,MATCH(A85&amp;B85,'計測入力シート（ここのみ編集可）'!$BO$17:$BO$116,0)),"")</f>
        <v>もんじろう</v>
      </c>
      <c r="H87" s="284"/>
    </row>
    <row r="88" ht="27.0" customHeight="1">
      <c r="D88" s="285" t="s">
        <v>1</v>
      </c>
      <c r="E88" s="286" t="str">
        <f t="array" ref="E88">IFERROR(INDEX('計測入力シート（ここのみ編集可）'!$B$17:$B$116,MATCH(A85&amp;B85,'計測入力シート（ここのみ編集可）'!$BO$17:$BO$116,0)),"")</f>
        <v>C1</v>
      </c>
      <c r="F88" s="287" t="s">
        <v>18</v>
      </c>
      <c r="G88" s="288" t="str">
        <f t="array" ref="G88">IFERROR(INDEX('計測入力シート（ここのみ編集可）'!$E$17:$E$116,MATCH(A85&amp;B85,'計測入力シート（ここのみ編集可）'!$BO$17:$BO$116,0)),"")</f>
        <v>WR450F</v>
      </c>
      <c r="H88" s="289"/>
    </row>
    <row r="89" ht="24.75" customHeight="1">
      <c r="D89" s="290" t="s">
        <v>92</v>
      </c>
      <c r="E89" s="291" t="str">
        <f t="array" ref="E89">IFERROR(INDEX(#REF!,MATCH(A85&amp;B85,'計測入力シート（ここのみ編集可）'!$BO$17:$BO$116,0)),"")</f>
        <v/>
      </c>
      <c r="H89" s="232"/>
    </row>
    <row r="90" ht="52.5" customHeight="1">
      <c r="D90" s="292" t="s">
        <v>100</v>
      </c>
      <c r="E90" s="293" t="str">
        <f t="array" ref="E90">IFERROR(INDEX(#REF!,MATCH(A85&amp;B85,'計測入力シート（ここのみ編集可）'!$BO$17:$BO$116,0)),"")</f>
        <v/>
      </c>
      <c r="F90" s="95"/>
      <c r="G90" s="95"/>
      <c r="H90" s="96"/>
    </row>
    <row r="91" ht="20.25" customHeight="1">
      <c r="D91" s="294" t="s">
        <v>39</v>
      </c>
      <c r="E91" s="295" t="str">
        <f t="array" ref="E91">IFERROR(INDEX('計測入力シート（ここのみ編集可）'!$AW$17:$AW$116,MATCH(A85&amp;B85,'計測入力シート（ここのみ編集可）'!$BO$17:$BO$116,0)),"")</f>
        <v>DNS</v>
      </c>
      <c r="F91" s="296"/>
      <c r="G91" s="297" t="s">
        <v>110</v>
      </c>
      <c r="H91" s="298" t="str">
        <f t="array" ref="H91">IFERROR(INDEX('計測入力シート（ここのみ編集可）'!$AY$17:$AY$116,MATCH(A85&amp;B85,'計測入力シート（ここのみ編集可）'!$BO$17:$BO$116,0)),"")</f>
        <v>-</v>
      </c>
    </row>
    <row r="92" ht="20.25" customHeight="1">
      <c r="D92" s="299" t="s">
        <v>42</v>
      </c>
      <c r="E92" s="300" t="str">
        <f t="array" ref="E92">IFERROR(INDEX('計測入力シート（ここのみ編集可）'!$AZ$17:$AZ$116,MATCH(A85&amp;B85,'計測入力シート（ここのみ編集可）'!$BO$17:$BO$116,0)),"")</f>
        <v>DNS</v>
      </c>
      <c r="F92" s="116"/>
      <c r="G92" s="301" t="s">
        <v>111</v>
      </c>
      <c r="H92" s="302" t="str">
        <f t="array" ref="H92">IFERROR(INDEX('計測入力シート（ここのみ編集可）'!$BB$17:$BB$116,MATCH(A85&amp;B85,'計測入力シート（ここのみ編集可）'!$BO$17:$BO$116,0)),"")</f>
        <v>-</v>
      </c>
    </row>
    <row r="93" ht="20.25" customHeight="1">
      <c r="D93" s="303" t="s">
        <v>112</v>
      </c>
      <c r="E93" s="304" t="str">
        <f t="array" ref="E93">IFERROR(INDEX('計測入力シート（ここのみ編集可）'!$BC$17:$BC$116,MATCH(A85&amp;B85,'計測入力シート（ここのみ編集可）'!$BO$17:$BO$116,0)),"")</f>
        <v>DNS</v>
      </c>
      <c r="F93" s="305"/>
      <c r="G93" s="306" t="s">
        <v>25</v>
      </c>
      <c r="H93" s="307" t="str">
        <f t="array" ref="H93">IFERROR(INDEX('計測入力シート（ここのみ編集可）'!$BD$17:$BD$116,MATCH(A85&amp;B85,'計測入力シート（ここのみ編集可）'!$BO$17:$BO$116,0)),"")</f>
        <v>-</v>
      </c>
    </row>
    <row r="94" ht="20.25" customHeight="1">
      <c r="D94" s="308"/>
    </row>
    <row r="95" ht="27.0" customHeight="1">
      <c r="A95" s="52" t="str">
        <f>A85</f>
        <v>C1</v>
      </c>
      <c r="B95" s="52">
        <f>B85+1</f>
        <v>10</v>
      </c>
      <c r="D95" s="271" t="s">
        <v>80</v>
      </c>
      <c r="E95" s="272" t="s">
        <v>81</v>
      </c>
      <c r="F95" s="272" t="s">
        <v>82</v>
      </c>
      <c r="G95" s="273" t="s">
        <v>49</v>
      </c>
      <c r="H95" s="274"/>
    </row>
    <row r="96" ht="27.0" customHeight="1">
      <c r="A96" s="86"/>
      <c r="B96" s="86"/>
      <c r="D96" s="275" t="str">
        <f t="array" ref="D96">IFERROR(INDEX('計測入力シート（ここのみ編集可）'!$BN$17:$BN$116,MATCH(A95&amp;B95,'計測入力シート（ここのみ編集可）'!$BO$17:$BO$116,0)),"")</f>
        <v>-</v>
      </c>
      <c r="E96" s="276" t="str">
        <f t="array" ref="E96">IFERROR(INDEX('計測入力シート（ここのみ編集可）'!$BP$17:$BP$116,MATCH(A95&amp;B95,'計測入力シート（ここのみ編集可）'!$BO$17:$BO$116,0)),"")</f>
        <v>-</v>
      </c>
      <c r="F96" s="277" t="str">
        <f t="array" ref="F96">IFERROR(INDEX('計測入力シート（ここのみ編集可）'!$BR$17:$BR$116,MATCH(A95&amp;B95,'計測入力シート（ここのみ編集可）'!$BO$17:$BO$116,0)),"")</f>
        <v>-</v>
      </c>
      <c r="G96" s="278" t="str">
        <f t="array" ref="G96">IFERROR(INDEX('計測入力シート（ここのみ編集可）'!$BL$17:$BL$116,MATCH(A95&amp;B95,'計測入力シート（ここのみ編集可）'!$BO$17:$BO$116,0)),"")</f>
        <v>-</v>
      </c>
      <c r="H96" s="279"/>
    </row>
    <row r="97" ht="27.0" customHeight="1">
      <c r="D97" s="280" t="s">
        <v>2</v>
      </c>
      <c r="E97" s="281">
        <f t="array" ref="E97">IFERROR(INDEX('計測入力シート（ここのみ編集可）'!$C$17:$C$116,MATCH(A95&amp;B95,'計測入力シート（ここのみ編集可）'!$BO$17:$BO$116,0)),"")</f>
        <v>42</v>
      </c>
      <c r="F97" s="282" t="s">
        <v>17</v>
      </c>
      <c r="G97" s="283" t="str">
        <f t="array" ref="G97">IFERROR(INDEX('計測入力シート（ここのみ編集可）'!$D$17:$D$116,MATCH(A95&amp;B95,'計測入力シート（ここのみ編集可）'!$BO$17:$BO$116,0)),"")</f>
        <v>kota</v>
      </c>
      <c r="H97" s="284"/>
    </row>
    <row r="98" ht="27.0" customHeight="1">
      <c r="D98" s="285" t="s">
        <v>1</v>
      </c>
      <c r="E98" s="286" t="str">
        <f t="array" ref="E98">IFERROR(INDEX('計測入力シート（ここのみ編集可）'!$B$17:$B$116,MATCH(A95&amp;B95,'計測入力シート（ここのみ編集可）'!$BO$17:$BO$116,0)),"")</f>
        <v>C1</v>
      </c>
      <c r="F98" s="287" t="s">
        <v>18</v>
      </c>
      <c r="G98" s="288" t="str">
        <f t="array" ref="G98">IFERROR(INDEX('計測入力シート（ここのみ編集可）'!$E$17:$E$116,MATCH(A95&amp;B95,'計測入力シート（ここのみ編集可）'!$BO$17:$BO$116,0)),"")</f>
        <v>GROM</v>
      </c>
      <c r="H98" s="289"/>
    </row>
    <row r="99" ht="24.75" customHeight="1">
      <c r="D99" s="290" t="s">
        <v>92</v>
      </c>
      <c r="E99" s="291" t="str">
        <f t="array" ref="E99">IFERROR(INDEX(#REF!,MATCH(A95&amp;B95,'計測入力シート（ここのみ編集可）'!$BO$17:$BO$116,0)),"")</f>
        <v/>
      </c>
      <c r="H99" s="232"/>
    </row>
    <row r="100" ht="52.5" customHeight="1">
      <c r="D100" s="292" t="s">
        <v>100</v>
      </c>
      <c r="E100" s="293" t="str">
        <f t="array" ref="E100">IFERROR(INDEX(#REF!,MATCH(A95&amp;B95,'計測入力シート（ここのみ編集可）'!$BO$17:$BO$116,0)),"")</f>
        <v/>
      </c>
      <c r="F100" s="95"/>
      <c r="G100" s="95"/>
      <c r="H100" s="96"/>
    </row>
    <row r="101" ht="20.25" customHeight="1">
      <c r="D101" s="294" t="s">
        <v>39</v>
      </c>
      <c r="E101" s="295" t="str">
        <f t="array" ref="E101">IFERROR(INDEX('計測入力シート（ここのみ編集可）'!$AW$17:$AW$116,MATCH(A95&amp;B95,'計測入力シート（ここのみ編集可）'!$BO$17:$BO$116,0)),"")</f>
        <v>DNS</v>
      </c>
      <c r="F101" s="296"/>
      <c r="G101" s="297" t="s">
        <v>110</v>
      </c>
      <c r="H101" s="298" t="str">
        <f t="array" ref="H101">IFERROR(INDEX('計測入力シート（ここのみ編集可）'!$AY$17:$AY$116,MATCH(A95&amp;B95,'計測入力シート（ここのみ編集可）'!$BO$17:$BO$116,0)),"")</f>
        <v>-</v>
      </c>
    </row>
    <row r="102" ht="20.25" customHeight="1">
      <c r="D102" s="299" t="s">
        <v>42</v>
      </c>
      <c r="E102" s="300" t="str">
        <f t="array" ref="E102">IFERROR(INDEX('計測入力シート（ここのみ編集可）'!$AZ$17:$AZ$116,MATCH(A95&amp;B95,'計測入力シート（ここのみ編集可）'!$BO$17:$BO$116,0)),"")</f>
        <v>DNS</v>
      </c>
      <c r="F102" s="116"/>
      <c r="G102" s="301" t="s">
        <v>111</v>
      </c>
      <c r="H102" s="302" t="str">
        <f t="array" ref="H102">IFERROR(INDEX('計測入力シート（ここのみ編集可）'!$BB$17:$BB$116,MATCH(A95&amp;B95,'計測入力シート（ここのみ編集可）'!$BO$17:$BO$116,0)),"")</f>
        <v>-</v>
      </c>
    </row>
    <row r="103" ht="20.25" customHeight="1">
      <c r="D103" s="303" t="s">
        <v>112</v>
      </c>
      <c r="E103" s="304" t="str">
        <f t="array" ref="E103">IFERROR(INDEX('計測入力シート（ここのみ編集可）'!$BC$17:$BC$116,MATCH(A95&amp;B95,'計測入力シート（ここのみ編集可）'!$BO$17:$BO$116,0)),"")</f>
        <v>DNS</v>
      </c>
      <c r="F103" s="305"/>
      <c r="G103" s="306" t="s">
        <v>25</v>
      </c>
      <c r="H103" s="307" t="str">
        <f t="array" ref="H103">IFERROR(INDEX('計測入力シート（ここのみ編集可）'!$BD$17:$BD$116,MATCH(A95&amp;B95,'計測入力シート（ここのみ編集可）'!$BO$17:$BO$116,0)),"")</f>
        <v>-</v>
      </c>
    </row>
    <row r="104" ht="20.25" customHeight="1">
      <c r="D104" s="308"/>
    </row>
    <row r="105" ht="27.0" customHeight="1">
      <c r="A105" s="52" t="str">
        <f>A95</f>
        <v>C1</v>
      </c>
      <c r="B105" s="52">
        <f>B95+1</f>
        <v>11</v>
      </c>
      <c r="D105" s="271" t="s">
        <v>80</v>
      </c>
      <c r="E105" s="272" t="s">
        <v>81</v>
      </c>
      <c r="F105" s="272" t="s">
        <v>82</v>
      </c>
      <c r="G105" s="273" t="s">
        <v>49</v>
      </c>
      <c r="H105" s="274"/>
    </row>
    <row r="106" ht="27.0" customHeight="1">
      <c r="A106" s="86"/>
      <c r="B106" s="86"/>
      <c r="D106" s="275" t="str">
        <f t="array" ref="D106">IFERROR(INDEX('計測入力シート（ここのみ編集可）'!$BN$17:$BN$116,MATCH(A105&amp;B105,'計測入力シート（ここのみ編集可）'!$BO$17:$BO$116,0)),"")</f>
        <v/>
      </c>
      <c r="E106" s="276" t="str">
        <f t="array" ref="E106">IFERROR(INDEX('計測入力シート（ここのみ編集可）'!$BP$17:$BP$116,MATCH(A105&amp;B105,'計測入力シート（ここのみ編集可）'!$BO$17:$BO$116,0)),"")</f>
        <v/>
      </c>
      <c r="F106" s="277" t="str">
        <f t="array" ref="F106">IFERROR(INDEX('計測入力シート（ここのみ編集可）'!$BR$17:$BR$116,MATCH(A105&amp;B105,'計測入力シート（ここのみ編集可）'!$BO$17:$BO$116,0)),"")</f>
        <v/>
      </c>
      <c r="G106" s="278" t="str">
        <f t="array" ref="G106">IFERROR(INDEX('計測入力シート（ここのみ編集可）'!$BL$17:$BL$116,MATCH(A105&amp;B105,'計測入力シート（ここのみ編集可）'!$BO$17:$BO$116,0)),"")</f>
        <v/>
      </c>
      <c r="H106" s="279"/>
    </row>
    <row r="107" ht="27.0" customHeight="1">
      <c r="D107" s="280" t="s">
        <v>2</v>
      </c>
      <c r="E107" s="281" t="str">
        <f t="array" ref="E107">IFERROR(INDEX('計測入力シート（ここのみ編集可）'!$C$17:$C$116,MATCH(A105&amp;B105,'計測入力シート（ここのみ編集可）'!$BO$17:$BO$116,0)),"")</f>
        <v/>
      </c>
      <c r="F107" s="282" t="s">
        <v>17</v>
      </c>
      <c r="G107" s="283" t="str">
        <f t="array" ref="G107">IFERROR(INDEX('計測入力シート（ここのみ編集可）'!$D$17:$D$116,MATCH(A105&amp;B105,'計測入力シート（ここのみ編集可）'!$BO$17:$BO$116,0)),"")</f>
        <v/>
      </c>
      <c r="H107" s="284"/>
    </row>
    <row r="108" ht="27.0" customHeight="1">
      <c r="D108" s="285" t="s">
        <v>1</v>
      </c>
      <c r="E108" s="286" t="str">
        <f t="array" ref="E108">IFERROR(INDEX('計測入力シート（ここのみ編集可）'!$B$17:$B$116,MATCH(A105&amp;B105,'計測入力シート（ここのみ編集可）'!$BO$17:$BO$116,0)),"")</f>
        <v/>
      </c>
      <c r="F108" s="287" t="s">
        <v>18</v>
      </c>
      <c r="G108" s="288" t="str">
        <f t="array" ref="G108">IFERROR(INDEX('計測入力シート（ここのみ編集可）'!$E$17:$E$116,MATCH(A105&amp;B105,'計測入力シート（ここのみ編集可）'!$BO$17:$BO$116,0)),"")</f>
        <v/>
      </c>
      <c r="H108" s="289"/>
    </row>
    <row r="109" ht="24.75" customHeight="1">
      <c r="D109" s="290" t="s">
        <v>92</v>
      </c>
      <c r="E109" s="291" t="str">
        <f t="array" ref="E109">IFERROR(INDEX(#REF!,MATCH(A105&amp;B105,'計測入力シート（ここのみ編集可）'!$BO$17:$BO$116,0)),"")</f>
        <v/>
      </c>
      <c r="H109" s="232"/>
    </row>
    <row r="110" ht="52.5" customHeight="1">
      <c r="D110" s="292" t="s">
        <v>100</v>
      </c>
      <c r="E110" s="293" t="str">
        <f t="array" ref="E110">IFERROR(INDEX(#REF!,MATCH(A105&amp;B105,'計測入力シート（ここのみ編集可）'!$BO$17:$BO$116,0)),"")</f>
        <v/>
      </c>
      <c r="F110" s="95"/>
      <c r="G110" s="95"/>
      <c r="H110" s="96"/>
    </row>
    <row r="111" ht="20.25" customHeight="1">
      <c r="D111" s="294" t="s">
        <v>39</v>
      </c>
      <c r="E111" s="295" t="str">
        <f t="array" ref="E111">IFERROR(INDEX('計測入力シート（ここのみ編集可）'!$AW$17:$AW$116,MATCH(A105&amp;B105,'計測入力シート（ここのみ編集可）'!$BO$17:$BO$116,0)),"")</f>
        <v/>
      </c>
      <c r="F111" s="296"/>
      <c r="G111" s="297" t="s">
        <v>110</v>
      </c>
      <c r="H111" s="298" t="str">
        <f t="array" ref="H111">IFERROR(INDEX('計測入力シート（ここのみ編集可）'!$AY$17:$AY$116,MATCH(A105&amp;B105,'計測入力シート（ここのみ編集可）'!$BO$17:$BO$116,0)),"")</f>
        <v/>
      </c>
    </row>
    <row r="112" ht="20.25" customHeight="1">
      <c r="D112" s="299" t="s">
        <v>42</v>
      </c>
      <c r="E112" s="300" t="str">
        <f t="array" ref="E112">IFERROR(INDEX('計測入力シート（ここのみ編集可）'!$AZ$17:$AZ$116,MATCH(A105&amp;B105,'計測入力シート（ここのみ編集可）'!$BO$17:$BO$116,0)),"")</f>
        <v/>
      </c>
      <c r="F112" s="116"/>
      <c r="G112" s="301" t="s">
        <v>111</v>
      </c>
      <c r="H112" s="302" t="str">
        <f t="array" ref="H112">IFERROR(INDEX('計測入力シート（ここのみ編集可）'!$BB$17:$BB$116,MATCH(A105&amp;B105,'計測入力シート（ここのみ編集可）'!$BO$17:$BO$116,0)),"")</f>
        <v/>
      </c>
    </row>
    <row r="113" ht="20.25" customHeight="1">
      <c r="D113" s="303" t="s">
        <v>112</v>
      </c>
      <c r="E113" s="304" t="str">
        <f t="array" ref="E113">IFERROR(INDEX('計測入力シート（ここのみ編集可）'!$BC$17:$BC$116,MATCH(A105&amp;B105,'計測入力シート（ここのみ編集可）'!$BO$17:$BO$116,0)),"")</f>
        <v/>
      </c>
      <c r="F113" s="305"/>
      <c r="G113" s="306" t="s">
        <v>25</v>
      </c>
      <c r="H113" s="307" t="str">
        <f t="array" ref="H113">IFERROR(INDEX('計測入力シート（ここのみ編集可）'!$BD$17:$BD$116,MATCH(A105&amp;B105,'計測入力シート（ここのみ編集可）'!$BO$17:$BO$116,0)),"")</f>
        <v/>
      </c>
    </row>
    <row r="114" ht="20.25" customHeight="1">
      <c r="D114" s="308"/>
    </row>
    <row r="115" ht="27.0" customHeight="1">
      <c r="A115" s="52" t="str">
        <f>A105</f>
        <v>C1</v>
      </c>
      <c r="B115" s="52">
        <f>B105+1</f>
        <v>12</v>
      </c>
      <c r="D115" s="271" t="s">
        <v>80</v>
      </c>
      <c r="E115" s="272" t="s">
        <v>81</v>
      </c>
      <c r="F115" s="272" t="s">
        <v>82</v>
      </c>
      <c r="G115" s="273" t="s">
        <v>49</v>
      </c>
      <c r="H115" s="274"/>
    </row>
    <row r="116" ht="27.0" customHeight="1">
      <c r="A116" s="86"/>
      <c r="B116" s="86"/>
      <c r="D116" s="275" t="str">
        <f t="array" ref="D116">IFERROR(INDEX('計測入力シート（ここのみ編集可）'!$BN$17:$BN$116,MATCH(A115&amp;B115,'計測入力シート（ここのみ編集可）'!$BO$17:$BO$116,0)),"")</f>
        <v/>
      </c>
      <c r="E116" s="276" t="str">
        <f t="array" ref="E116">IFERROR(INDEX('計測入力シート（ここのみ編集可）'!$BP$17:$BP$116,MATCH(A115&amp;B115,'計測入力シート（ここのみ編集可）'!$BO$17:$BO$116,0)),"")</f>
        <v/>
      </c>
      <c r="F116" s="277" t="str">
        <f t="array" ref="F116">IFERROR(INDEX('計測入力シート（ここのみ編集可）'!$BR$17:$BR$116,MATCH(A115&amp;B115,'計測入力シート（ここのみ編集可）'!$BO$17:$BO$116,0)),"")</f>
        <v/>
      </c>
      <c r="G116" s="278" t="str">
        <f t="array" ref="G116">IFERROR(INDEX('計測入力シート（ここのみ編集可）'!$BL$17:$BL$116,MATCH(A115&amp;B115,'計測入力シート（ここのみ編集可）'!$BO$17:$BO$116,0)),"")</f>
        <v/>
      </c>
      <c r="H116" s="279"/>
    </row>
    <row r="117" ht="27.0" customHeight="1">
      <c r="D117" s="280" t="s">
        <v>2</v>
      </c>
      <c r="E117" s="281" t="str">
        <f t="array" ref="E117">IFERROR(INDEX('計測入力シート（ここのみ編集可）'!$C$17:$C$116,MATCH(A115&amp;B115,'計測入力シート（ここのみ編集可）'!$BO$17:$BO$116,0)),"")</f>
        <v/>
      </c>
      <c r="F117" s="282" t="s">
        <v>17</v>
      </c>
      <c r="G117" s="283" t="str">
        <f t="array" ref="G117">IFERROR(INDEX('計測入力シート（ここのみ編集可）'!$D$17:$D$116,MATCH(A115&amp;B115,'計測入力シート（ここのみ編集可）'!$BO$17:$BO$116,0)),"")</f>
        <v/>
      </c>
      <c r="H117" s="284"/>
    </row>
    <row r="118" ht="27.0" customHeight="1">
      <c r="D118" s="285" t="s">
        <v>1</v>
      </c>
      <c r="E118" s="286" t="str">
        <f t="array" ref="E118">IFERROR(INDEX('計測入力シート（ここのみ編集可）'!$B$17:$B$116,MATCH(A115&amp;B115,'計測入力シート（ここのみ編集可）'!$BO$17:$BO$116,0)),"")</f>
        <v/>
      </c>
      <c r="F118" s="287" t="s">
        <v>18</v>
      </c>
      <c r="G118" s="288" t="str">
        <f t="array" ref="G118">IFERROR(INDEX('計測入力シート（ここのみ編集可）'!$E$17:$E$116,MATCH(A115&amp;B115,'計測入力シート（ここのみ編集可）'!$BO$17:$BO$116,0)),"")</f>
        <v/>
      </c>
      <c r="H118" s="289"/>
    </row>
    <row r="119" ht="24.75" customHeight="1">
      <c r="D119" s="290" t="s">
        <v>92</v>
      </c>
      <c r="E119" s="291" t="str">
        <f t="array" ref="E119">IFERROR(INDEX(#REF!,MATCH(A115&amp;B115,'計測入力シート（ここのみ編集可）'!$BO$17:$BO$116,0)),"")</f>
        <v/>
      </c>
      <c r="H119" s="232"/>
    </row>
    <row r="120" ht="52.5" customHeight="1">
      <c r="D120" s="292" t="s">
        <v>100</v>
      </c>
      <c r="E120" s="293" t="str">
        <f t="array" ref="E120">IFERROR(INDEX(#REF!,MATCH(A115&amp;B115,'計測入力シート（ここのみ編集可）'!$BO$17:$BO$116,0)),"")</f>
        <v/>
      </c>
      <c r="F120" s="95"/>
      <c r="G120" s="95"/>
      <c r="H120" s="96"/>
    </row>
    <row r="121" ht="20.25" customHeight="1">
      <c r="D121" s="294" t="s">
        <v>39</v>
      </c>
      <c r="E121" s="295" t="str">
        <f t="array" ref="E121">IFERROR(INDEX('計測入力シート（ここのみ編集可）'!$AW$17:$AW$116,MATCH(A115&amp;B115,'計測入力シート（ここのみ編集可）'!$BO$17:$BO$116,0)),"")</f>
        <v/>
      </c>
      <c r="F121" s="296"/>
      <c r="G121" s="297" t="s">
        <v>110</v>
      </c>
      <c r="H121" s="298" t="str">
        <f t="array" ref="H121">IFERROR(INDEX('計測入力シート（ここのみ編集可）'!$AY$17:$AY$116,MATCH(A115&amp;B115,'計測入力シート（ここのみ編集可）'!$BO$17:$BO$116,0)),"")</f>
        <v/>
      </c>
    </row>
    <row r="122" ht="20.25" customHeight="1">
      <c r="D122" s="299" t="s">
        <v>42</v>
      </c>
      <c r="E122" s="300" t="str">
        <f t="array" ref="E122">IFERROR(INDEX('計測入力シート（ここのみ編集可）'!$AZ$17:$AZ$116,MATCH(A115&amp;B115,'計測入力シート（ここのみ編集可）'!$BO$17:$BO$116,0)),"")</f>
        <v/>
      </c>
      <c r="F122" s="116"/>
      <c r="G122" s="301" t="s">
        <v>111</v>
      </c>
      <c r="H122" s="302" t="str">
        <f t="array" ref="H122">IFERROR(INDEX('計測入力シート（ここのみ編集可）'!$BB$17:$BB$116,MATCH(A115&amp;B115,'計測入力シート（ここのみ編集可）'!$BO$17:$BO$116,0)),"")</f>
        <v/>
      </c>
    </row>
    <row r="123" ht="20.25" customHeight="1">
      <c r="D123" s="303" t="s">
        <v>112</v>
      </c>
      <c r="E123" s="304" t="str">
        <f t="array" ref="E123">IFERROR(INDEX('計測入力シート（ここのみ編集可）'!$BC$17:$BC$116,MATCH(A115&amp;B115,'計測入力シート（ここのみ編集可）'!$BO$17:$BO$116,0)),"")</f>
        <v/>
      </c>
      <c r="F123" s="305"/>
      <c r="G123" s="306" t="s">
        <v>25</v>
      </c>
      <c r="H123" s="307" t="str">
        <f t="array" ref="H123">IFERROR(INDEX('計測入力シート（ここのみ編集可）'!$BD$17:$BD$116,MATCH(A115&amp;B115,'計測入力シート（ここのみ編集可）'!$BO$17:$BO$116,0)),"")</f>
        <v/>
      </c>
    </row>
    <row r="124" ht="20.25" customHeight="1">
      <c r="D124" s="308"/>
    </row>
    <row r="125" ht="27.0" customHeight="1">
      <c r="A125" s="52" t="str">
        <f>A115</f>
        <v>C1</v>
      </c>
      <c r="B125" s="52">
        <f>B115+1</f>
        <v>13</v>
      </c>
      <c r="D125" s="271" t="s">
        <v>80</v>
      </c>
      <c r="E125" s="272" t="s">
        <v>81</v>
      </c>
      <c r="F125" s="272" t="s">
        <v>82</v>
      </c>
      <c r="G125" s="273" t="s">
        <v>49</v>
      </c>
      <c r="H125" s="274"/>
    </row>
    <row r="126" ht="27.0" customHeight="1">
      <c r="A126" s="86"/>
      <c r="B126" s="86"/>
      <c r="D126" s="275" t="str">
        <f t="array" ref="D126">IFERROR(INDEX('計測入力シート（ここのみ編集可）'!$BN$17:$BN$116,MATCH(A125&amp;B125,'計測入力シート（ここのみ編集可）'!$BO$17:$BO$116,0)),"")</f>
        <v/>
      </c>
      <c r="E126" s="276" t="str">
        <f t="array" ref="E126">IFERROR(INDEX('計測入力シート（ここのみ編集可）'!$BP$17:$BP$116,MATCH(A125&amp;B125,'計測入力シート（ここのみ編集可）'!$BO$17:$BO$116,0)),"")</f>
        <v/>
      </c>
      <c r="F126" s="277" t="str">
        <f t="array" ref="F126">IFERROR(INDEX('計測入力シート（ここのみ編集可）'!$BR$17:$BR$116,MATCH(A125&amp;B125,'計測入力シート（ここのみ編集可）'!$BO$17:$BO$116,0)),"")</f>
        <v/>
      </c>
      <c r="G126" s="278" t="str">
        <f t="array" ref="G126">IFERROR(INDEX('計測入力シート（ここのみ編集可）'!$BL$17:$BL$116,MATCH(A125&amp;B125,'計測入力シート（ここのみ編集可）'!$BO$17:$BO$116,0)),"")</f>
        <v/>
      </c>
      <c r="H126" s="279"/>
    </row>
    <row r="127" ht="27.0" customHeight="1">
      <c r="D127" s="280" t="s">
        <v>2</v>
      </c>
      <c r="E127" s="281" t="str">
        <f t="array" ref="E127">IFERROR(INDEX('計測入力シート（ここのみ編集可）'!$C$17:$C$116,MATCH(A125&amp;B125,'計測入力シート（ここのみ編集可）'!$BO$17:$BO$116,0)),"")</f>
        <v/>
      </c>
      <c r="F127" s="282" t="s">
        <v>17</v>
      </c>
      <c r="G127" s="283" t="str">
        <f t="array" ref="G127">IFERROR(INDEX('計測入力シート（ここのみ編集可）'!$D$17:$D$116,MATCH(A125&amp;B125,'計測入力シート（ここのみ編集可）'!$BO$17:$BO$116,0)),"")</f>
        <v/>
      </c>
      <c r="H127" s="284"/>
    </row>
    <row r="128" ht="27.0" customHeight="1">
      <c r="D128" s="285" t="s">
        <v>1</v>
      </c>
      <c r="E128" s="286" t="str">
        <f t="array" ref="E128">IFERROR(INDEX('計測入力シート（ここのみ編集可）'!$B$17:$B$116,MATCH(A125&amp;B125,'計測入力シート（ここのみ編集可）'!$BO$17:$BO$116,0)),"")</f>
        <v/>
      </c>
      <c r="F128" s="287" t="s">
        <v>18</v>
      </c>
      <c r="G128" s="288" t="str">
        <f t="array" ref="G128">IFERROR(INDEX('計測入力シート（ここのみ編集可）'!$E$17:$E$116,MATCH(A125&amp;B125,'計測入力シート（ここのみ編集可）'!$BO$17:$BO$116,0)),"")</f>
        <v/>
      </c>
      <c r="H128" s="289"/>
    </row>
    <row r="129" ht="24.75" customHeight="1">
      <c r="D129" s="290" t="s">
        <v>92</v>
      </c>
      <c r="E129" s="291" t="str">
        <f t="array" ref="E129">IFERROR(INDEX(#REF!,MATCH(A125&amp;B125,'計測入力シート（ここのみ編集可）'!$BO$17:$BO$116,0)),"")</f>
        <v/>
      </c>
      <c r="H129" s="232"/>
    </row>
    <row r="130" ht="52.5" customHeight="1">
      <c r="D130" s="292" t="s">
        <v>100</v>
      </c>
      <c r="E130" s="293" t="str">
        <f t="array" ref="E130">IFERROR(INDEX(#REF!,MATCH(A125&amp;B125,'計測入力シート（ここのみ編集可）'!$BO$17:$BO$116,0)),"")</f>
        <v/>
      </c>
      <c r="F130" s="95"/>
      <c r="G130" s="95"/>
      <c r="H130" s="96"/>
    </row>
    <row r="131" ht="20.25" customHeight="1">
      <c r="D131" s="294" t="s">
        <v>39</v>
      </c>
      <c r="E131" s="295" t="str">
        <f t="array" ref="E131">IFERROR(INDEX('計測入力シート（ここのみ編集可）'!$AW$17:$AW$116,MATCH(A125&amp;B125,'計測入力シート（ここのみ編集可）'!$BO$17:$BO$116,0)),"")</f>
        <v/>
      </c>
      <c r="F131" s="296"/>
      <c r="G131" s="297" t="s">
        <v>110</v>
      </c>
      <c r="H131" s="298" t="str">
        <f t="array" ref="H131">IFERROR(INDEX('計測入力シート（ここのみ編集可）'!$AY$17:$AY$116,MATCH(A125&amp;B125,'計測入力シート（ここのみ編集可）'!$BO$17:$BO$116,0)),"")</f>
        <v/>
      </c>
    </row>
    <row r="132" ht="20.25" customHeight="1">
      <c r="D132" s="299" t="s">
        <v>42</v>
      </c>
      <c r="E132" s="300" t="str">
        <f t="array" ref="E132">IFERROR(INDEX('計測入力シート（ここのみ編集可）'!$AZ$17:$AZ$116,MATCH(A125&amp;B125,'計測入力シート（ここのみ編集可）'!$BO$17:$BO$116,0)),"")</f>
        <v/>
      </c>
      <c r="F132" s="116"/>
      <c r="G132" s="301" t="s">
        <v>111</v>
      </c>
      <c r="H132" s="302" t="str">
        <f t="array" ref="H132">IFERROR(INDEX('計測入力シート（ここのみ編集可）'!$BB$17:$BB$116,MATCH(A125&amp;B125,'計測入力シート（ここのみ編集可）'!$BO$17:$BO$116,0)),"")</f>
        <v/>
      </c>
    </row>
    <row r="133" ht="20.25" customHeight="1">
      <c r="D133" s="303" t="s">
        <v>112</v>
      </c>
      <c r="E133" s="304" t="str">
        <f t="array" ref="E133">IFERROR(INDEX('計測入力シート（ここのみ編集可）'!$BC$17:$BC$116,MATCH(A125&amp;B125,'計測入力シート（ここのみ編集可）'!$BO$17:$BO$116,0)),"")</f>
        <v/>
      </c>
      <c r="F133" s="305"/>
      <c r="G133" s="306" t="s">
        <v>25</v>
      </c>
      <c r="H133" s="307" t="str">
        <f t="array" ref="H133">IFERROR(INDEX('計測入力シート（ここのみ編集可）'!$BD$17:$BD$116,MATCH(A125&amp;B125,'計測入力シート（ここのみ編集可）'!$BO$17:$BO$116,0)),"")</f>
        <v/>
      </c>
    </row>
    <row r="134" ht="20.25" customHeight="1">
      <c r="D134" s="308"/>
    </row>
    <row r="135" ht="27.0" customHeight="1">
      <c r="A135" s="52" t="str">
        <f>A125</f>
        <v>C1</v>
      </c>
      <c r="B135" s="52">
        <f>B125+1</f>
        <v>14</v>
      </c>
      <c r="D135" s="271" t="s">
        <v>80</v>
      </c>
      <c r="E135" s="272" t="s">
        <v>81</v>
      </c>
      <c r="F135" s="272" t="s">
        <v>82</v>
      </c>
      <c r="G135" s="273" t="s">
        <v>49</v>
      </c>
      <c r="H135" s="274"/>
    </row>
    <row r="136" ht="27.0" customHeight="1">
      <c r="A136" s="86"/>
      <c r="B136" s="86"/>
      <c r="D136" s="275" t="str">
        <f t="array" ref="D136">IFERROR(INDEX('計測入力シート（ここのみ編集可）'!$BN$17:$BN$116,MATCH(A135&amp;B135,'計測入力シート（ここのみ編集可）'!$BO$17:$BO$116,0)),"")</f>
        <v/>
      </c>
      <c r="E136" s="276" t="str">
        <f t="array" ref="E136">IFERROR(INDEX('計測入力シート（ここのみ編集可）'!$BP$17:$BP$116,MATCH(A135&amp;B135,'計測入力シート（ここのみ編集可）'!$BO$17:$BO$116,0)),"")</f>
        <v/>
      </c>
      <c r="F136" s="277" t="str">
        <f t="array" ref="F136">IFERROR(INDEX('計測入力シート（ここのみ編集可）'!$BR$17:$BR$116,MATCH(A135&amp;B135,'計測入力シート（ここのみ編集可）'!$BO$17:$BO$116,0)),"")</f>
        <v/>
      </c>
      <c r="G136" s="278" t="str">
        <f t="array" ref="G136">IFERROR(INDEX('計測入力シート（ここのみ編集可）'!$BL$17:$BL$116,MATCH(A135&amp;B135,'計測入力シート（ここのみ編集可）'!$BO$17:$BO$116,0)),"")</f>
        <v/>
      </c>
      <c r="H136" s="279"/>
    </row>
    <row r="137" ht="27.0" customHeight="1">
      <c r="D137" s="280" t="s">
        <v>2</v>
      </c>
      <c r="E137" s="281" t="str">
        <f t="array" ref="E137">IFERROR(INDEX('計測入力シート（ここのみ編集可）'!$C$17:$C$116,MATCH(A135&amp;B135,'計測入力シート（ここのみ編集可）'!$BO$17:$BO$116,0)),"")</f>
        <v/>
      </c>
      <c r="F137" s="282" t="s">
        <v>17</v>
      </c>
      <c r="G137" s="283" t="str">
        <f t="array" ref="G137">IFERROR(INDEX('計測入力シート（ここのみ編集可）'!$D$17:$D$116,MATCH(A135&amp;B135,'計測入力シート（ここのみ編集可）'!$BO$17:$BO$116,0)),"")</f>
        <v/>
      </c>
      <c r="H137" s="284"/>
    </row>
    <row r="138" ht="27.0" customHeight="1">
      <c r="D138" s="285" t="s">
        <v>1</v>
      </c>
      <c r="E138" s="286" t="str">
        <f t="array" ref="E138">IFERROR(INDEX('計測入力シート（ここのみ編集可）'!$B$17:$B$116,MATCH(A135&amp;B135,'計測入力シート（ここのみ編集可）'!$BO$17:$BO$116,0)),"")</f>
        <v/>
      </c>
      <c r="F138" s="287" t="s">
        <v>18</v>
      </c>
      <c r="G138" s="288" t="str">
        <f t="array" ref="G138">IFERROR(INDEX('計測入力シート（ここのみ編集可）'!$E$17:$E$116,MATCH(A135&amp;B135,'計測入力シート（ここのみ編集可）'!$BO$17:$BO$116,0)),"")</f>
        <v/>
      </c>
      <c r="H138" s="289"/>
    </row>
    <row r="139" ht="24.75" customHeight="1">
      <c r="D139" s="290" t="s">
        <v>92</v>
      </c>
      <c r="E139" s="291" t="str">
        <f t="array" ref="E139">IFERROR(INDEX(#REF!,MATCH(A135&amp;B135,'計測入力シート（ここのみ編集可）'!$BO$17:$BO$116,0)),"")</f>
        <v/>
      </c>
      <c r="H139" s="232"/>
    </row>
    <row r="140" ht="52.5" customHeight="1">
      <c r="D140" s="292" t="s">
        <v>100</v>
      </c>
      <c r="E140" s="293" t="str">
        <f t="array" ref="E140">IFERROR(INDEX(#REF!,MATCH(A135&amp;B135,'計測入力シート（ここのみ編集可）'!$BO$17:$BO$116,0)),"")</f>
        <v/>
      </c>
      <c r="F140" s="95"/>
      <c r="G140" s="95"/>
      <c r="H140" s="96"/>
    </row>
    <row r="141" ht="20.25" customHeight="1">
      <c r="D141" s="294" t="s">
        <v>39</v>
      </c>
      <c r="E141" s="295" t="str">
        <f t="array" ref="E141">IFERROR(INDEX('計測入力シート（ここのみ編集可）'!$AW$17:$AW$116,MATCH(A135&amp;B135,'計測入力シート（ここのみ編集可）'!$BO$17:$BO$116,0)),"")</f>
        <v/>
      </c>
      <c r="F141" s="296"/>
      <c r="G141" s="297" t="s">
        <v>110</v>
      </c>
      <c r="H141" s="298" t="str">
        <f t="array" ref="H141">IFERROR(INDEX('計測入力シート（ここのみ編集可）'!$AY$17:$AY$116,MATCH(A135&amp;B135,'計測入力シート（ここのみ編集可）'!$BO$17:$BO$116,0)),"")</f>
        <v/>
      </c>
    </row>
    <row r="142" ht="20.25" customHeight="1">
      <c r="D142" s="299" t="s">
        <v>42</v>
      </c>
      <c r="E142" s="300" t="str">
        <f t="array" ref="E142">IFERROR(INDEX('計測入力シート（ここのみ編集可）'!$AZ$17:$AZ$116,MATCH(A135&amp;B135,'計測入力シート（ここのみ編集可）'!$BO$17:$BO$116,0)),"")</f>
        <v/>
      </c>
      <c r="F142" s="116"/>
      <c r="G142" s="301" t="s">
        <v>111</v>
      </c>
      <c r="H142" s="302" t="str">
        <f t="array" ref="H142">IFERROR(INDEX('計測入力シート（ここのみ編集可）'!$BB$17:$BB$116,MATCH(A135&amp;B135,'計測入力シート（ここのみ編集可）'!$BO$17:$BO$116,0)),"")</f>
        <v/>
      </c>
    </row>
    <row r="143" ht="20.25" customHeight="1">
      <c r="D143" s="303" t="s">
        <v>112</v>
      </c>
      <c r="E143" s="304" t="str">
        <f t="array" ref="E143">IFERROR(INDEX('計測入力シート（ここのみ編集可）'!$BC$17:$BC$116,MATCH(A135&amp;B135,'計測入力シート（ここのみ編集可）'!$BO$17:$BO$116,0)),"")</f>
        <v/>
      </c>
      <c r="F143" s="305"/>
      <c r="G143" s="306" t="s">
        <v>25</v>
      </c>
      <c r="H143" s="307" t="str">
        <f t="array" ref="H143">IFERROR(INDEX('計測入力シート（ここのみ編集可）'!$BD$17:$BD$116,MATCH(A135&amp;B135,'計測入力シート（ここのみ編集可）'!$BO$17:$BO$116,0)),"")</f>
        <v/>
      </c>
    </row>
    <row r="144" ht="20.25" customHeight="1">
      <c r="D144" s="308"/>
    </row>
    <row r="145" ht="27.0" customHeight="1">
      <c r="A145" s="52" t="str">
        <f>A135</f>
        <v>C1</v>
      </c>
      <c r="B145" s="52">
        <f>B135+1</f>
        <v>15</v>
      </c>
      <c r="D145" s="271" t="s">
        <v>80</v>
      </c>
      <c r="E145" s="272" t="s">
        <v>81</v>
      </c>
      <c r="F145" s="272" t="s">
        <v>82</v>
      </c>
      <c r="G145" s="273" t="s">
        <v>49</v>
      </c>
      <c r="H145" s="274"/>
    </row>
    <row r="146" ht="27.0" customHeight="1">
      <c r="A146" s="86"/>
      <c r="B146" s="86"/>
      <c r="D146" s="275" t="str">
        <f t="array" ref="D146">IFERROR(INDEX('計測入力シート（ここのみ編集可）'!$BN$17:$BN$116,MATCH(A145&amp;B145,'計測入力シート（ここのみ編集可）'!$BO$17:$BO$116,0)),"")</f>
        <v/>
      </c>
      <c r="E146" s="276" t="str">
        <f t="array" ref="E146">IFERROR(INDEX('計測入力シート（ここのみ編集可）'!$BP$17:$BP$116,MATCH(A145&amp;B145,'計測入力シート（ここのみ編集可）'!$BO$17:$BO$116,0)),"")</f>
        <v/>
      </c>
      <c r="F146" s="277" t="str">
        <f t="array" ref="F146">IFERROR(INDEX('計測入力シート（ここのみ編集可）'!$BR$17:$BR$116,MATCH(A145&amp;B145,'計測入力シート（ここのみ編集可）'!$BO$17:$BO$116,0)),"")</f>
        <v/>
      </c>
      <c r="G146" s="278" t="str">
        <f t="array" ref="G146">IFERROR(INDEX('計測入力シート（ここのみ編集可）'!$BL$17:$BL$116,MATCH(A145&amp;B145,'計測入力シート（ここのみ編集可）'!$BO$17:$BO$116,0)),"")</f>
        <v/>
      </c>
      <c r="H146" s="279"/>
    </row>
    <row r="147" ht="27.0" customHeight="1">
      <c r="D147" s="280" t="s">
        <v>2</v>
      </c>
      <c r="E147" s="281" t="str">
        <f t="array" ref="E147">IFERROR(INDEX('計測入力シート（ここのみ編集可）'!$C$17:$C$116,MATCH(A145&amp;B145,'計測入力シート（ここのみ編集可）'!$BO$17:$BO$116,0)),"")</f>
        <v/>
      </c>
      <c r="F147" s="282" t="s">
        <v>17</v>
      </c>
      <c r="G147" s="283" t="str">
        <f t="array" ref="G147">IFERROR(INDEX('計測入力シート（ここのみ編集可）'!$D$17:$D$116,MATCH(A145&amp;B145,'計測入力シート（ここのみ編集可）'!$BO$17:$BO$116,0)),"")</f>
        <v/>
      </c>
      <c r="H147" s="284"/>
    </row>
    <row r="148" ht="27.0" customHeight="1">
      <c r="D148" s="285" t="s">
        <v>1</v>
      </c>
      <c r="E148" s="286" t="str">
        <f t="array" ref="E148">IFERROR(INDEX('計測入力シート（ここのみ編集可）'!$B$17:$B$116,MATCH(A145&amp;B145,'計測入力シート（ここのみ編集可）'!$BO$17:$BO$116,0)),"")</f>
        <v/>
      </c>
      <c r="F148" s="287" t="s">
        <v>18</v>
      </c>
      <c r="G148" s="288" t="str">
        <f t="array" ref="G148">IFERROR(INDEX('計測入力シート（ここのみ編集可）'!$E$17:$E$116,MATCH(A145&amp;B145,'計測入力シート（ここのみ編集可）'!$BO$17:$BO$116,0)),"")</f>
        <v/>
      </c>
      <c r="H148" s="289"/>
    </row>
    <row r="149" ht="24.75" customHeight="1">
      <c r="D149" s="290" t="s">
        <v>92</v>
      </c>
      <c r="E149" s="291" t="str">
        <f t="array" ref="E149">IFERROR(INDEX(#REF!,MATCH(A145&amp;B145,'計測入力シート（ここのみ編集可）'!$BO$17:$BO$116,0)),"")</f>
        <v/>
      </c>
      <c r="H149" s="232"/>
    </row>
    <row r="150" ht="52.5" customHeight="1">
      <c r="D150" s="292" t="s">
        <v>100</v>
      </c>
      <c r="E150" s="293" t="str">
        <f t="array" ref="E150">IFERROR(INDEX(#REF!,MATCH(A145&amp;B145,'計測入力シート（ここのみ編集可）'!$BO$17:$BO$116,0)),"")</f>
        <v/>
      </c>
      <c r="F150" s="95"/>
      <c r="G150" s="95"/>
      <c r="H150" s="96"/>
    </row>
    <row r="151" ht="20.25" customHeight="1">
      <c r="D151" s="294" t="s">
        <v>39</v>
      </c>
      <c r="E151" s="295" t="str">
        <f t="array" ref="E151">IFERROR(INDEX('計測入力シート（ここのみ編集可）'!$AW$17:$AW$116,MATCH(A145&amp;B145,'計測入力シート（ここのみ編集可）'!$BO$17:$BO$116,0)),"")</f>
        <v/>
      </c>
      <c r="F151" s="296"/>
      <c r="G151" s="297" t="s">
        <v>110</v>
      </c>
      <c r="H151" s="298" t="str">
        <f t="array" ref="H151">IFERROR(INDEX('計測入力シート（ここのみ編集可）'!$AY$17:$AY$116,MATCH(A145&amp;B145,'計測入力シート（ここのみ編集可）'!$BO$17:$BO$116,0)),"")</f>
        <v/>
      </c>
    </row>
    <row r="152" ht="20.25" customHeight="1">
      <c r="D152" s="299" t="s">
        <v>42</v>
      </c>
      <c r="E152" s="300" t="str">
        <f t="array" ref="E152">IFERROR(INDEX('計測入力シート（ここのみ編集可）'!$AZ$17:$AZ$116,MATCH(A145&amp;B145,'計測入力シート（ここのみ編集可）'!$BO$17:$BO$116,0)),"")</f>
        <v/>
      </c>
      <c r="F152" s="116"/>
      <c r="G152" s="301" t="s">
        <v>111</v>
      </c>
      <c r="H152" s="302" t="str">
        <f t="array" ref="H152">IFERROR(INDEX('計測入力シート（ここのみ編集可）'!$BB$17:$BB$116,MATCH(A145&amp;B145,'計測入力シート（ここのみ編集可）'!$BO$17:$BO$116,0)),"")</f>
        <v/>
      </c>
    </row>
    <row r="153" ht="20.25" customHeight="1">
      <c r="D153" s="303" t="s">
        <v>112</v>
      </c>
      <c r="E153" s="304" t="str">
        <f t="array" ref="E153">IFERROR(INDEX('計測入力シート（ここのみ編集可）'!$BC$17:$BC$116,MATCH(A145&amp;B145,'計測入力シート（ここのみ編集可）'!$BO$17:$BO$116,0)),"")</f>
        <v/>
      </c>
      <c r="F153" s="305"/>
      <c r="G153" s="306" t="s">
        <v>25</v>
      </c>
      <c r="H153" s="307" t="str">
        <f t="array" ref="H153">IFERROR(INDEX('計測入力シート（ここのみ編集可）'!$BD$17:$BD$116,MATCH(A145&amp;B145,'計測入力シート（ここのみ編集可）'!$BO$17:$BO$116,0)),"")</f>
        <v/>
      </c>
    </row>
    <row r="154" ht="20.25" customHeight="1">
      <c r="D154" s="308"/>
    </row>
    <row r="155" ht="27.0" customHeight="1">
      <c r="A155" s="52" t="str">
        <f>A145</f>
        <v>C1</v>
      </c>
      <c r="B155" s="52">
        <f>B145+1</f>
        <v>16</v>
      </c>
      <c r="D155" s="271" t="s">
        <v>80</v>
      </c>
      <c r="E155" s="272" t="s">
        <v>81</v>
      </c>
      <c r="F155" s="272" t="s">
        <v>82</v>
      </c>
      <c r="G155" s="273" t="s">
        <v>49</v>
      </c>
      <c r="H155" s="274"/>
    </row>
    <row r="156" ht="27.0" customHeight="1">
      <c r="A156" s="86"/>
      <c r="B156" s="86"/>
      <c r="D156" s="275" t="str">
        <f t="array" ref="D156">IFERROR(INDEX('計測入力シート（ここのみ編集可）'!$BN$17:$BN$116,MATCH(A155&amp;B155,'計測入力シート（ここのみ編集可）'!$BO$17:$BO$116,0)),"")</f>
        <v/>
      </c>
      <c r="E156" s="276" t="str">
        <f t="array" ref="E156">IFERROR(INDEX('計測入力シート（ここのみ編集可）'!$BP$17:$BP$116,MATCH(A155&amp;B155,'計測入力シート（ここのみ編集可）'!$BO$17:$BO$116,0)),"")</f>
        <v/>
      </c>
      <c r="F156" s="277" t="str">
        <f t="array" ref="F156">IFERROR(INDEX('計測入力シート（ここのみ編集可）'!$BR$17:$BR$116,MATCH(A155&amp;B155,'計測入力シート（ここのみ編集可）'!$BO$17:$BO$116,0)),"")</f>
        <v/>
      </c>
      <c r="G156" s="278" t="str">
        <f t="array" ref="G156">IFERROR(INDEX('計測入力シート（ここのみ編集可）'!$BL$17:$BL$116,MATCH(A155&amp;B155,'計測入力シート（ここのみ編集可）'!$BO$17:$BO$116,0)),"")</f>
        <v/>
      </c>
      <c r="H156" s="279"/>
    </row>
    <row r="157" ht="27.0" customHeight="1">
      <c r="D157" s="280" t="s">
        <v>2</v>
      </c>
      <c r="E157" s="281" t="str">
        <f t="array" ref="E157">IFERROR(INDEX('計測入力シート（ここのみ編集可）'!$C$17:$C$116,MATCH(A155&amp;B155,'計測入力シート（ここのみ編集可）'!$BO$17:$BO$116,0)),"")</f>
        <v/>
      </c>
      <c r="F157" s="282" t="s">
        <v>17</v>
      </c>
      <c r="G157" s="283" t="str">
        <f t="array" ref="G157">IFERROR(INDEX('計測入力シート（ここのみ編集可）'!$D$17:$D$116,MATCH(A155&amp;B155,'計測入力シート（ここのみ編集可）'!$BO$17:$BO$116,0)),"")</f>
        <v/>
      </c>
      <c r="H157" s="284"/>
    </row>
    <row r="158" ht="27.0" customHeight="1">
      <c r="D158" s="285" t="s">
        <v>1</v>
      </c>
      <c r="E158" s="286" t="str">
        <f t="array" ref="E158">IFERROR(INDEX('計測入力シート（ここのみ編集可）'!$B$17:$B$116,MATCH(A155&amp;B155,'計測入力シート（ここのみ編集可）'!$BO$17:$BO$116,0)),"")</f>
        <v/>
      </c>
      <c r="F158" s="287" t="s">
        <v>18</v>
      </c>
      <c r="G158" s="288" t="str">
        <f t="array" ref="G158">IFERROR(INDEX('計測入力シート（ここのみ編集可）'!$E$17:$E$116,MATCH(A155&amp;B155,'計測入力シート（ここのみ編集可）'!$BO$17:$BO$116,0)),"")</f>
        <v/>
      </c>
      <c r="H158" s="289"/>
    </row>
    <row r="159" ht="24.75" customHeight="1">
      <c r="D159" s="290" t="s">
        <v>92</v>
      </c>
      <c r="E159" s="291" t="str">
        <f t="array" ref="E159">IFERROR(INDEX(#REF!,MATCH(A155&amp;B155,'計測入力シート（ここのみ編集可）'!$BO$17:$BO$116,0)),"")</f>
        <v/>
      </c>
      <c r="H159" s="232"/>
    </row>
    <row r="160" ht="52.5" customHeight="1">
      <c r="D160" s="292" t="s">
        <v>100</v>
      </c>
      <c r="E160" s="293" t="str">
        <f t="array" ref="E160">IFERROR(INDEX(#REF!,MATCH(A155&amp;B155,'計測入力シート（ここのみ編集可）'!$BO$17:$BO$116,0)),"")</f>
        <v/>
      </c>
      <c r="F160" s="95"/>
      <c r="G160" s="95"/>
      <c r="H160" s="96"/>
    </row>
    <row r="161" ht="20.25" customHeight="1">
      <c r="D161" s="294" t="s">
        <v>39</v>
      </c>
      <c r="E161" s="295" t="str">
        <f t="array" ref="E161">IFERROR(INDEX('計測入力シート（ここのみ編集可）'!$AW$17:$AW$116,MATCH(A155&amp;B155,'計測入力シート（ここのみ編集可）'!$BO$17:$BO$116,0)),"")</f>
        <v/>
      </c>
      <c r="F161" s="296"/>
      <c r="G161" s="297" t="s">
        <v>110</v>
      </c>
      <c r="H161" s="298" t="str">
        <f t="array" ref="H161">IFERROR(INDEX('計測入力シート（ここのみ編集可）'!$AY$17:$AY$116,MATCH(A155&amp;B155,'計測入力シート（ここのみ編集可）'!$BO$17:$BO$116,0)),"")</f>
        <v/>
      </c>
    </row>
    <row r="162" ht="20.25" customHeight="1">
      <c r="D162" s="299" t="s">
        <v>42</v>
      </c>
      <c r="E162" s="300" t="str">
        <f t="array" ref="E162">IFERROR(INDEX('計測入力シート（ここのみ編集可）'!$AZ$17:$AZ$116,MATCH(A155&amp;B155,'計測入力シート（ここのみ編集可）'!$BO$17:$BO$116,0)),"")</f>
        <v/>
      </c>
      <c r="F162" s="116"/>
      <c r="G162" s="301" t="s">
        <v>111</v>
      </c>
      <c r="H162" s="302" t="str">
        <f t="array" ref="H162">IFERROR(INDEX('計測入力シート（ここのみ編集可）'!$BB$17:$BB$116,MATCH(A155&amp;B155,'計測入力シート（ここのみ編集可）'!$BO$17:$BO$116,0)),"")</f>
        <v/>
      </c>
    </row>
    <row r="163" ht="20.25" customHeight="1">
      <c r="D163" s="303" t="s">
        <v>112</v>
      </c>
      <c r="E163" s="304" t="str">
        <f t="array" ref="E163">IFERROR(INDEX('計測入力シート（ここのみ編集可）'!$BC$17:$BC$116,MATCH(A155&amp;B155,'計測入力シート（ここのみ編集可）'!$BO$17:$BO$116,0)),"")</f>
        <v/>
      </c>
      <c r="F163" s="305"/>
      <c r="G163" s="306" t="s">
        <v>25</v>
      </c>
      <c r="H163" s="307" t="str">
        <f t="array" ref="H163">IFERROR(INDEX('計測入力シート（ここのみ編集可）'!$BD$17:$BD$116,MATCH(A155&amp;B155,'計測入力シート（ここのみ編集可）'!$BO$17:$BO$116,0)),"")</f>
        <v/>
      </c>
    </row>
    <row r="164" ht="20.25" customHeight="1">
      <c r="D164" s="308"/>
    </row>
    <row r="165" ht="27.0" customHeight="1">
      <c r="A165" s="52" t="str">
        <f>A155</f>
        <v>C1</v>
      </c>
      <c r="B165" s="52">
        <f>B155+1</f>
        <v>17</v>
      </c>
      <c r="D165" s="271" t="s">
        <v>80</v>
      </c>
      <c r="E165" s="272" t="s">
        <v>81</v>
      </c>
      <c r="F165" s="272" t="s">
        <v>82</v>
      </c>
      <c r="G165" s="273" t="s">
        <v>49</v>
      </c>
      <c r="H165" s="274"/>
    </row>
    <row r="166" ht="27.0" customHeight="1">
      <c r="A166" s="86"/>
      <c r="B166" s="86"/>
      <c r="D166" s="275" t="str">
        <f t="array" ref="D166">IFERROR(INDEX('計測入力シート（ここのみ編集可）'!$BN$17:$BN$116,MATCH(A165&amp;B165,'計測入力シート（ここのみ編集可）'!$BO$17:$BO$116,0)),"")</f>
        <v/>
      </c>
      <c r="E166" s="276" t="str">
        <f t="array" ref="E166">IFERROR(INDEX('計測入力シート（ここのみ編集可）'!$BP$17:$BP$116,MATCH(A165&amp;B165,'計測入力シート（ここのみ編集可）'!$BO$17:$BO$116,0)),"")</f>
        <v/>
      </c>
      <c r="F166" s="277" t="str">
        <f t="array" ref="F166">IFERROR(INDEX('計測入力シート（ここのみ編集可）'!$BR$17:$BR$116,MATCH(A165&amp;B165,'計測入力シート（ここのみ編集可）'!$BO$17:$BO$116,0)),"")</f>
        <v/>
      </c>
      <c r="G166" s="278" t="str">
        <f t="array" ref="G166">IFERROR(INDEX('計測入力シート（ここのみ編集可）'!$BL$17:$BL$116,MATCH(A165&amp;B165,'計測入力シート（ここのみ編集可）'!$BO$17:$BO$116,0)),"")</f>
        <v/>
      </c>
      <c r="H166" s="279"/>
    </row>
    <row r="167" ht="27.0" customHeight="1">
      <c r="D167" s="280" t="s">
        <v>2</v>
      </c>
      <c r="E167" s="281" t="str">
        <f t="array" ref="E167">IFERROR(INDEX('計測入力シート（ここのみ編集可）'!$C$17:$C$116,MATCH(A165&amp;B165,'計測入力シート（ここのみ編集可）'!$BO$17:$BO$116,0)),"")</f>
        <v/>
      </c>
      <c r="F167" s="282" t="s">
        <v>17</v>
      </c>
      <c r="G167" s="283" t="str">
        <f t="array" ref="G167">IFERROR(INDEX('計測入力シート（ここのみ編集可）'!$D$17:$D$116,MATCH(A165&amp;B165,'計測入力シート（ここのみ編集可）'!$BO$17:$BO$116,0)),"")</f>
        <v/>
      </c>
      <c r="H167" s="284"/>
    </row>
    <row r="168" ht="27.0" customHeight="1">
      <c r="D168" s="285" t="s">
        <v>1</v>
      </c>
      <c r="E168" s="286" t="str">
        <f t="array" ref="E168">IFERROR(INDEX('計測入力シート（ここのみ編集可）'!$B$17:$B$116,MATCH(A165&amp;B165,'計測入力シート（ここのみ編集可）'!$BO$17:$BO$116,0)),"")</f>
        <v/>
      </c>
      <c r="F168" s="287" t="s">
        <v>18</v>
      </c>
      <c r="G168" s="288" t="str">
        <f t="array" ref="G168">IFERROR(INDEX('計測入力シート（ここのみ編集可）'!$E$17:$E$116,MATCH(A165&amp;B165,'計測入力シート（ここのみ編集可）'!$BO$17:$BO$116,0)),"")</f>
        <v/>
      </c>
      <c r="H168" s="289"/>
    </row>
    <row r="169" ht="24.75" customHeight="1">
      <c r="D169" s="290" t="s">
        <v>92</v>
      </c>
      <c r="E169" s="291" t="str">
        <f t="array" ref="E169">IFERROR(INDEX(#REF!,MATCH(A165&amp;B165,'計測入力シート（ここのみ編集可）'!$BO$17:$BO$116,0)),"")</f>
        <v/>
      </c>
      <c r="H169" s="232"/>
    </row>
    <row r="170" ht="52.5" customHeight="1">
      <c r="D170" s="292" t="s">
        <v>100</v>
      </c>
      <c r="E170" s="293" t="str">
        <f t="array" ref="E170">IFERROR(INDEX(#REF!,MATCH(A165&amp;B165,'計測入力シート（ここのみ編集可）'!$BO$17:$BO$116,0)),"")</f>
        <v/>
      </c>
      <c r="F170" s="95"/>
      <c r="G170" s="95"/>
      <c r="H170" s="96"/>
    </row>
    <row r="171" ht="20.25" customHeight="1">
      <c r="D171" s="294" t="s">
        <v>39</v>
      </c>
      <c r="E171" s="295" t="str">
        <f t="array" ref="E171">IFERROR(INDEX('計測入力シート（ここのみ編集可）'!$AW$17:$AW$116,MATCH(A165&amp;B165,'計測入力シート（ここのみ編集可）'!$BO$17:$BO$116,0)),"")</f>
        <v/>
      </c>
      <c r="F171" s="296"/>
      <c r="G171" s="297" t="s">
        <v>110</v>
      </c>
      <c r="H171" s="298" t="str">
        <f t="array" ref="H171">IFERROR(INDEX('計測入力シート（ここのみ編集可）'!$AY$17:$AY$116,MATCH(A165&amp;B165,'計測入力シート（ここのみ編集可）'!$BO$17:$BO$116,0)),"")</f>
        <v/>
      </c>
    </row>
    <row r="172" ht="20.25" customHeight="1">
      <c r="D172" s="299" t="s">
        <v>42</v>
      </c>
      <c r="E172" s="300" t="str">
        <f t="array" ref="E172">IFERROR(INDEX('計測入力シート（ここのみ編集可）'!$AZ$17:$AZ$116,MATCH(A165&amp;B165,'計測入力シート（ここのみ編集可）'!$BO$17:$BO$116,0)),"")</f>
        <v/>
      </c>
      <c r="F172" s="116"/>
      <c r="G172" s="301" t="s">
        <v>111</v>
      </c>
      <c r="H172" s="302" t="str">
        <f t="array" ref="H172">IFERROR(INDEX('計測入力シート（ここのみ編集可）'!$BB$17:$BB$116,MATCH(A165&amp;B165,'計測入力シート（ここのみ編集可）'!$BO$17:$BO$116,0)),"")</f>
        <v/>
      </c>
    </row>
    <row r="173" ht="20.25" customHeight="1">
      <c r="D173" s="303" t="s">
        <v>112</v>
      </c>
      <c r="E173" s="304" t="str">
        <f t="array" ref="E173">IFERROR(INDEX('計測入力シート（ここのみ編集可）'!$BC$17:$BC$116,MATCH(A165&amp;B165,'計測入力シート（ここのみ編集可）'!$BO$17:$BO$116,0)),"")</f>
        <v/>
      </c>
      <c r="F173" s="305"/>
      <c r="G173" s="306" t="s">
        <v>25</v>
      </c>
      <c r="H173" s="307" t="str">
        <f t="array" ref="H173">IFERROR(INDEX('計測入力シート（ここのみ編集可）'!$BD$17:$BD$116,MATCH(A165&amp;B165,'計測入力シート（ここのみ編集可）'!$BO$17:$BO$116,0)),"")</f>
        <v/>
      </c>
    </row>
    <row r="174" ht="20.25" customHeight="1">
      <c r="D174" s="308"/>
    </row>
    <row r="175" ht="27.0" customHeight="1">
      <c r="A175" s="52" t="str">
        <f>A165</f>
        <v>C1</v>
      </c>
      <c r="B175" s="52">
        <f>B165+1</f>
        <v>18</v>
      </c>
      <c r="D175" s="271" t="s">
        <v>80</v>
      </c>
      <c r="E175" s="272" t="s">
        <v>81</v>
      </c>
      <c r="F175" s="272" t="s">
        <v>82</v>
      </c>
      <c r="G175" s="273" t="s">
        <v>49</v>
      </c>
      <c r="H175" s="274"/>
    </row>
    <row r="176" ht="27.0" customHeight="1">
      <c r="A176" s="86"/>
      <c r="B176" s="86"/>
      <c r="D176" s="275" t="str">
        <f t="array" ref="D176">IFERROR(INDEX('計測入力シート（ここのみ編集可）'!$BN$17:$BN$116,MATCH(A175&amp;B175,'計測入力シート（ここのみ編集可）'!$BO$17:$BO$116,0)),"")</f>
        <v/>
      </c>
      <c r="E176" s="276" t="str">
        <f t="array" ref="E176">IFERROR(INDEX('計測入力シート（ここのみ編集可）'!$BP$17:$BP$116,MATCH(A175&amp;B175,'計測入力シート（ここのみ編集可）'!$BO$17:$BO$116,0)),"")</f>
        <v/>
      </c>
      <c r="F176" s="277" t="str">
        <f t="array" ref="F176">IFERROR(INDEX('計測入力シート（ここのみ編集可）'!$BR$17:$BR$116,MATCH(A175&amp;B175,'計測入力シート（ここのみ編集可）'!$BO$17:$BO$116,0)),"")</f>
        <v/>
      </c>
      <c r="G176" s="278" t="str">
        <f t="array" ref="G176">IFERROR(INDEX('計測入力シート（ここのみ編集可）'!$BL$17:$BL$116,MATCH(A175&amp;B175,'計測入力シート（ここのみ編集可）'!$BO$17:$BO$116,0)),"")</f>
        <v/>
      </c>
      <c r="H176" s="279"/>
    </row>
    <row r="177" ht="27.0" customHeight="1">
      <c r="D177" s="280" t="s">
        <v>2</v>
      </c>
      <c r="E177" s="281" t="str">
        <f t="array" ref="E177">IFERROR(INDEX('計測入力シート（ここのみ編集可）'!$C$17:$C$116,MATCH(A175&amp;B175,'計測入力シート（ここのみ編集可）'!$BO$17:$BO$116,0)),"")</f>
        <v/>
      </c>
      <c r="F177" s="282" t="s">
        <v>17</v>
      </c>
      <c r="G177" s="283" t="str">
        <f t="array" ref="G177">IFERROR(INDEX('計測入力シート（ここのみ編集可）'!$D$17:$D$116,MATCH(A175&amp;B175,'計測入力シート（ここのみ編集可）'!$BO$17:$BO$116,0)),"")</f>
        <v/>
      </c>
      <c r="H177" s="284"/>
    </row>
    <row r="178" ht="27.0" customHeight="1">
      <c r="D178" s="285" t="s">
        <v>1</v>
      </c>
      <c r="E178" s="286" t="str">
        <f t="array" ref="E178">IFERROR(INDEX('計測入力シート（ここのみ編集可）'!$B$17:$B$116,MATCH(A175&amp;B175,'計測入力シート（ここのみ編集可）'!$BO$17:$BO$116,0)),"")</f>
        <v/>
      </c>
      <c r="F178" s="287" t="s">
        <v>18</v>
      </c>
      <c r="G178" s="288" t="str">
        <f t="array" ref="G178">IFERROR(INDEX('計測入力シート（ここのみ編集可）'!$E$17:$E$116,MATCH(A175&amp;B175,'計測入力シート（ここのみ編集可）'!$BO$17:$BO$116,0)),"")</f>
        <v/>
      </c>
      <c r="H178" s="289"/>
    </row>
    <row r="179" ht="24.75" customHeight="1">
      <c r="D179" s="290" t="s">
        <v>92</v>
      </c>
      <c r="E179" s="291" t="str">
        <f t="array" ref="E179">IFERROR(INDEX(#REF!,MATCH(A175&amp;B175,'計測入力シート（ここのみ編集可）'!$BO$17:$BO$116,0)),"")</f>
        <v/>
      </c>
      <c r="H179" s="232"/>
    </row>
    <row r="180" ht="52.5" customHeight="1">
      <c r="D180" s="292" t="s">
        <v>100</v>
      </c>
      <c r="E180" s="293" t="str">
        <f t="array" ref="E180">IFERROR(INDEX(#REF!,MATCH(A175&amp;B175,'計測入力シート（ここのみ編集可）'!$BO$17:$BO$116,0)),"")</f>
        <v/>
      </c>
      <c r="F180" s="95"/>
      <c r="G180" s="95"/>
      <c r="H180" s="96"/>
    </row>
    <row r="181" ht="20.25" customHeight="1">
      <c r="D181" s="294" t="s">
        <v>39</v>
      </c>
      <c r="E181" s="295" t="str">
        <f t="array" ref="E181">IFERROR(INDEX('計測入力シート（ここのみ編集可）'!$AW$17:$AW$116,MATCH(A175&amp;B175,'計測入力シート（ここのみ編集可）'!$BO$17:$BO$116,0)),"")</f>
        <v/>
      </c>
      <c r="F181" s="296"/>
      <c r="G181" s="297" t="s">
        <v>110</v>
      </c>
      <c r="H181" s="298" t="str">
        <f t="array" ref="H181">IFERROR(INDEX('計測入力シート（ここのみ編集可）'!$AY$17:$AY$116,MATCH(A175&amp;B175,'計測入力シート（ここのみ編集可）'!$BO$17:$BO$116,0)),"")</f>
        <v/>
      </c>
    </row>
    <row r="182" ht="20.25" customHeight="1">
      <c r="D182" s="299" t="s">
        <v>42</v>
      </c>
      <c r="E182" s="300" t="str">
        <f t="array" ref="E182">IFERROR(INDEX('計測入力シート（ここのみ編集可）'!$AZ$17:$AZ$116,MATCH(A175&amp;B175,'計測入力シート（ここのみ編集可）'!$BO$17:$BO$116,0)),"")</f>
        <v/>
      </c>
      <c r="F182" s="116"/>
      <c r="G182" s="301" t="s">
        <v>111</v>
      </c>
      <c r="H182" s="302" t="str">
        <f t="array" ref="H182">IFERROR(INDEX('計測入力シート（ここのみ編集可）'!$BB$17:$BB$116,MATCH(A175&amp;B175,'計測入力シート（ここのみ編集可）'!$BO$17:$BO$116,0)),"")</f>
        <v/>
      </c>
    </row>
    <row r="183" ht="20.25" customHeight="1">
      <c r="D183" s="303" t="s">
        <v>112</v>
      </c>
      <c r="E183" s="304" t="str">
        <f t="array" ref="E183">IFERROR(INDEX('計測入力シート（ここのみ編集可）'!$BC$17:$BC$116,MATCH(A175&amp;B175,'計測入力シート（ここのみ編集可）'!$BO$17:$BO$116,0)),"")</f>
        <v/>
      </c>
      <c r="F183" s="305"/>
      <c r="G183" s="306" t="s">
        <v>25</v>
      </c>
      <c r="H183" s="307" t="str">
        <f t="array" ref="H183">IFERROR(INDEX('計測入力シート（ここのみ編集可）'!$BD$17:$BD$116,MATCH(A175&amp;B175,'計測入力シート（ここのみ編集可）'!$BO$17:$BO$116,0)),"")</f>
        <v/>
      </c>
    </row>
    <row r="184" ht="20.25" customHeight="1">
      <c r="D184" s="308"/>
    </row>
    <row r="185" ht="27.0" customHeight="1">
      <c r="A185" s="52" t="str">
        <f>A175</f>
        <v>C1</v>
      </c>
      <c r="B185" s="52">
        <f>B175+1</f>
        <v>19</v>
      </c>
      <c r="D185" s="271" t="s">
        <v>80</v>
      </c>
      <c r="E185" s="272" t="s">
        <v>81</v>
      </c>
      <c r="F185" s="272" t="s">
        <v>82</v>
      </c>
      <c r="G185" s="273" t="s">
        <v>49</v>
      </c>
      <c r="H185" s="274"/>
    </row>
    <row r="186" ht="27.0" customHeight="1">
      <c r="A186" s="86"/>
      <c r="B186" s="86"/>
      <c r="D186" s="275" t="str">
        <f t="array" ref="D186">IFERROR(INDEX('計測入力シート（ここのみ編集可）'!$BN$17:$BN$116,MATCH(A185&amp;B185,'計測入力シート（ここのみ編集可）'!$BO$17:$BO$116,0)),"")</f>
        <v/>
      </c>
      <c r="E186" s="276" t="str">
        <f t="array" ref="E186">IFERROR(INDEX('計測入力シート（ここのみ編集可）'!$BP$17:$BP$116,MATCH(A185&amp;B185,'計測入力シート（ここのみ編集可）'!$BO$17:$BO$116,0)),"")</f>
        <v/>
      </c>
      <c r="F186" s="277" t="str">
        <f t="array" ref="F186">IFERROR(INDEX('計測入力シート（ここのみ編集可）'!$BR$17:$BR$116,MATCH(A185&amp;B185,'計測入力シート（ここのみ編集可）'!$BO$17:$BO$116,0)),"")</f>
        <v/>
      </c>
      <c r="G186" s="278" t="str">
        <f t="array" ref="G186">IFERROR(INDEX('計測入力シート（ここのみ編集可）'!$BL$17:$BL$116,MATCH(A185&amp;B185,'計測入力シート（ここのみ編集可）'!$BO$17:$BO$116,0)),"")</f>
        <v/>
      </c>
      <c r="H186" s="279"/>
    </row>
    <row r="187" ht="27.0" customHeight="1">
      <c r="D187" s="280" t="s">
        <v>2</v>
      </c>
      <c r="E187" s="281" t="str">
        <f t="array" ref="E187">IFERROR(INDEX('計測入力シート（ここのみ編集可）'!$C$17:$C$116,MATCH(A185&amp;B185,'計測入力シート（ここのみ編集可）'!$BO$17:$BO$116,0)),"")</f>
        <v/>
      </c>
      <c r="F187" s="282" t="s">
        <v>17</v>
      </c>
      <c r="G187" s="283" t="str">
        <f t="array" ref="G187">IFERROR(INDEX('計測入力シート（ここのみ編集可）'!$D$17:$D$116,MATCH(A185&amp;B185,'計測入力シート（ここのみ編集可）'!$BO$17:$BO$116,0)),"")</f>
        <v/>
      </c>
      <c r="H187" s="284"/>
    </row>
    <row r="188" ht="27.0" customHeight="1">
      <c r="D188" s="285" t="s">
        <v>1</v>
      </c>
      <c r="E188" s="286" t="str">
        <f t="array" ref="E188">IFERROR(INDEX('計測入力シート（ここのみ編集可）'!$B$17:$B$116,MATCH(A185&amp;B185,'計測入力シート（ここのみ編集可）'!$BO$17:$BO$116,0)),"")</f>
        <v/>
      </c>
      <c r="F188" s="287" t="s">
        <v>18</v>
      </c>
      <c r="G188" s="288" t="str">
        <f t="array" ref="G188">IFERROR(INDEX('計測入力シート（ここのみ編集可）'!$E$17:$E$116,MATCH(A185&amp;B185,'計測入力シート（ここのみ編集可）'!$BO$17:$BO$116,0)),"")</f>
        <v/>
      </c>
      <c r="H188" s="289"/>
    </row>
    <row r="189" ht="24.75" customHeight="1">
      <c r="D189" s="290" t="s">
        <v>92</v>
      </c>
      <c r="E189" s="291" t="str">
        <f t="array" ref="E189">IFERROR(INDEX(#REF!,MATCH(A185&amp;B185,'計測入力シート（ここのみ編集可）'!$BO$17:$BO$116,0)),"")</f>
        <v/>
      </c>
      <c r="H189" s="232"/>
    </row>
    <row r="190" ht="52.5" customHeight="1">
      <c r="D190" s="292" t="s">
        <v>100</v>
      </c>
      <c r="E190" s="293" t="str">
        <f t="array" ref="E190">IFERROR(INDEX(#REF!,MATCH(A185&amp;B185,'計測入力シート（ここのみ編集可）'!$BO$17:$BO$116,0)),"")</f>
        <v/>
      </c>
      <c r="F190" s="95"/>
      <c r="G190" s="95"/>
      <c r="H190" s="96"/>
    </row>
    <row r="191" ht="20.25" customHeight="1">
      <c r="D191" s="294" t="s">
        <v>39</v>
      </c>
      <c r="E191" s="295" t="str">
        <f t="array" ref="E191">IFERROR(INDEX('計測入力シート（ここのみ編集可）'!$AW$17:$AW$116,MATCH(A185&amp;B185,'計測入力シート（ここのみ編集可）'!$BO$17:$BO$116,0)),"")</f>
        <v/>
      </c>
      <c r="F191" s="296"/>
      <c r="G191" s="297" t="s">
        <v>110</v>
      </c>
      <c r="H191" s="298" t="str">
        <f t="array" ref="H191">IFERROR(INDEX('計測入力シート（ここのみ編集可）'!$AY$17:$AY$116,MATCH(A185&amp;B185,'計測入力シート（ここのみ編集可）'!$BO$17:$BO$116,0)),"")</f>
        <v/>
      </c>
    </row>
    <row r="192" ht="20.25" customHeight="1">
      <c r="D192" s="299" t="s">
        <v>42</v>
      </c>
      <c r="E192" s="300" t="str">
        <f t="array" ref="E192">IFERROR(INDEX('計測入力シート（ここのみ編集可）'!$AZ$17:$AZ$116,MATCH(A185&amp;B185,'計測入力シート（ここのみ編集可）'!$BO$17:$BO$116,0)),"")</f>
        <v/>
      </c>
      <c r="F192" s="116"/>
      <c r="G192" s="301" t="s">
        <v>111</v>
      </c>
      <c r="H192" s="302" t="str">
        <f t="array" ref="H192">IFERROR(INDEX('計測入力シート（ここのみ編集可）'!$BB$17:$BB$116,MATCH(A185&amp;B185,'計測入力シート（ここのみ編集可）'!$BO$17:$BO$116,0)),"")</f>
        <v/>
      </c>
    </row>
    <row r="193" ht="20.25" customHeight="1">
      <c r="D193" s="303" t="s">
        <v>112</v>
      </c>
      <c r="E193" s="304" t="str">
        <f t="array" ref="E193">IFERROR(INDEX('計測入力シート（ここのみ編集可）'!$BC$17:$BC$116,MATCH(A185&amp;B185,'計測入力シート（ここのみ編集可）'!$BO$17:$BO$116,0)),"")</f>
        <v/>
      </c>
      <c r="F193" s="305"/>
      <c r="G193" s="306" t="s">
        <v>25</v>
      </c>
      <c r="H193" s="307" t="str">
        <f t="array" ref="H193">IFERROR(INDEX('計測入力シート（ここのみ編集可）'!$BD$17:$BD$116,MATCH(A185&amp;B185,'計測入力シート（ここのみ編集可）'!$BO$17:$BO$116,0)),"")</f>
        <v/>
      </c>
    </row>
    <row r="194" ht="20.25" customHeight="1">
      <c r="D194" s="308"/>
    </row>
    <row r="195" ht="27.0" customHeight="1">
      <c r="A195" s="52" t="str">
        <f>A185</f>
        <v>C1</v>
      </c>
      <c r="B195" s="52">
        <f>B185+1</f>
        <v>20</v>
      </c>
      <c r="D195" s="271" t="s">
        <v>80</v>
      </c>
      <c r="E195" s="272" t="s">
        <v>81</v>
      </c>
      <c r="F195" s="272" t="s">
        <v>82</v>
      </c>
      <c r="G195" s="273" t="s">
        <v>49</v>
      </c>
      <c r="H195" s="274"/>
    </row>
    <row r="196" ht="27.0" customHeight="1">
      <c r="A196" s="86"/>
      <c r="B196" s="86"/>
      <c r="D196" s="275" t="str">
        <f t="array" ref="D196">IFERROR(INDEX('計測入力シート（ここのみ編集可）'!$BN$17:$BN$116,MATCH(A195&amp;B195,'計測入力シート（ここのみ編集可）'!$BO$17:$BO$116,0)),"")</f>
        <v/>
      </c>
      <c r="E196" s="276" t="str">
        <f t="array" ref="E196">IFERROR(INDEX('計測入力シート（ここのみ編集可）'!$BP$17:$BP$116,MATCH(A195&amp;B195,'計測入力シート（ここのみ編集可）'!$BO$17:$BO$116,0)),"")</f>
        <v/>
      </c>
      <c r="F196" s="277" t="str">
        <f t="array" ref="F196">IFERROR(INDEX('計測入力シート（ここのみ編集可）'!$BR$17:$BR$116,MATCH(A195&amp;B195,'計測入力シート（ここのみ編集可）'!$BO$17:$BO$116,0)),"")</f>
        <v/>
      </c>
      <c r="G196" s="278" t="str">
        <f t="array" ref="G196">IFERROR(INDEX('計測入力シート（ここのみ編集可）'!$BL$17:$BL$116,MATCH(A195&amp;B195,'計測入力シート（ここのみ編集可）'!$BO$17:$BO$116,0)),"")</f>
        <v/>
      </c>
      <c r="H196" s="279"/>
    </row>
    <row r="197" ht="27.0" customHeight="1">
      <c r="D197" s="280" t="s">
        <v>2</v>
      </c>
      <c r="E197" s="281" t="str">
        <f t="array" ref="E197">IFERROR(INDEX('計測入力シート（ここのみ編集可）'!$C$17:$C$116,MATCH(A195&amp;B195,'計測入力シート（ここのみ編集可）'!$BO$17:$BO$116,0)),"")</f>
        <v/>
      </c>
      <c r="F197" s="282" t="s">
        <v>17</v>
      </c>
      <c r="G197" s="283" t="str">
        <f t="array" ref="G197">IFERROR(INDEX('計測入力シート（ここのみ編集可）'!$D$17:$D$116,MATCH(A195&amp;B195,'計測入力シート（ここのみ編集可）'!$BO$17:$BO$116,0)),"")</f>
        <v/>
      </c>
      <c r="H197" s="284"/>
    </row>
    <row r="198" ht="27.0" customHeight="1">
      <c r="D198" s="285" t="s">
        <v>1</v>
      </c>
      <c r="E198" s="286" t="str">
        <f t="array" ref="E198">IFERROR(INDEX('計測入力シート（ここのみ編集可）'!$B$17:$B$116,MATCH(A195&amp;B195,'計測入力シート（ここのみ編集可）'!$BO$17:$BO$116,0)),"")</f>
        <v/>
      </c>
      <c r="F198" s="287" t="s">
        <v>18</v>
      </c>
      <c r="G198" s="288" t="str">
        <f t="array" ref="G198">IFERROR(INDEX('計測入力シート（ここのみ編集可）'!$E$17:$E$116,MATCH(A195&amp;B195,'計測入力シート（ここのみ編集可）'!$BO$17:$BO$116,0)),"")</f>
        <v/>
      </c>
      <c r="H198" s="289"/>
    </row>
    <row r="199" ht="24.75" customHeight="1">
      <c r="D199" s="290" t="s">
        <v>92</v>
      </c>
      <c r="E199" s="291" t="str">
        <f t="array" ref="E199">IFERROR(INDEX(#REF!,MATCH(A195&amp;B195,'計測入力シート（ここのみ編集可）'!$BO$17:$BO$116,0)),"")</f>
        <v/>
      </c>
      <c r="H199" s="232"/>
    </row>
    <row r="200" ht="52.5" customHeight="1">
      <c r="D200" s="292" t="s">
        <v>100</v>
      </c>
      <c r="E200" s="293" t="str">
        <f t="array" ref="E200">IFERROR(INDEX(#REF!,MATCH(A195&amp;B195,'計測入力シート（ここのみ編集可）'!$BO$17:$BO$116,0)),"")</f>
        <v/>
      </c>
      <c r="F200" s="95"/>
      <c r="G200" s="95"/>
      <c r="H200" s="96"/>
    </row>
    <row r="201" ht="20.25" customHeight="1">
      <c r="D201" s="294" t="s">
        <v>39</v>
      </c>
      <c r="E201" s="295" t="str">
        <f t="array" ref="E201">IFERROR(INDEX('計測入力シート（ここのみ編集可）'!$AW$17:$AW$116,MATCH(A195&amp;B195,'計測入力シート（ここのみ編集可）'!$BO$17:$BO$116,0)),"")</f>
        <v/>
      </c>
      <c r="F201" s="296"/>
      <c r="G201" s="297" t="s">
        <v>110</v>
      </c>
      <c r="H201" s="298" t="str">
        <f t="array" ref="H201">IFERROR(INDEX('計測入力シート（ここのみ編集可）'!$AY$17:$AY$116,MATCH(A195&amp;B195,'計測入力シート（ここのみ編集可）'!$BO$17:$BO$116,0)),"")</f>
        <v/>
      </c>
    </row>
    <row r="202" ht="20.25" customHeight="1">
      <c r="D202" s="299" t="s">
        <v>42</v>
      </c>
      <c r="E202" s="300" t="str">
        <f t="array" ref="E202">IFERROR(INDEX('計測入力シート（ここのみ編集可）'!$AZ$17:$AZ$116,MATCH(A195&amp;B195,'計測入力シート（ここのみ編集可）'!$BO$17:$BO$116,0)),"")</f>
        <v/>
      </c>
      <c r="F202" s="116"/>
      <c r="G202" s="301" t="s">
        <v>111</v>
      </c>
      <c r="H202" s="302" t="str">
        <f t="array" ref="H202">IFERROR(INDEX('計測入力シート（ここのみ編集可）'!$BB$17:$BB$116,MATCH(A195&amp;B195,'計測入力シート（ここのみ編集可）'!$BO$17:$BO$116,0)),"")</f>
        <v/>
      </c>
    </row>
    <row r="203" ht="20.25" customHeight="1">
      <c r="D203" s="303" t="s">
        <v>112</v>
      </c>
      <c r="E203" s="304" t="str">
        <f t="array" ref="E203">IFERROR(INDEX('計測入力シート（ここのみ編集可）'!$BC$17:$BC$116,MATCH(A195&amp;B195,'計測入力シート（ここのみ編集可）'!$BO$17:$BO$116,0)),"")</f>
        <v/>
      </c>
      <c r="F203" s="305"/>
      <c r="G203" s="306" t="s">
        <v>25</v>
      </c>
      <c r="H203" s="307" t="str">
        <f t="array" ref="H203">IFERROR(INDEX('計測入力シート（ここのみ編集可）'!$BD$17:$BD$116,MATCH(A195&amp;B195,'計測入力シート（ここのみ編集可）'!$BO$17:$BO$116,0)),"")</f>
        <v/>
      </c>
    </row>
    <row r="204" ht="20.25" customHeight="1">
      <c r="D204" s="308"/>
    </row>
    <row r="205" ht="27.0" customHeight="1">
      <c r="A205" s="52" t="str">
        <f>A195</f>
        <v>C1</v>
      </c>
      <c r="B205" s="52">
        <f>B195+1</f>
        <v>21</v>
      </c>
      <c r="D205" s="271" t="s">
        <v>80</v>
      </c>
      <c r="E205" s="272" t="s">
        <v>81</v>
      </c>
      <c r="F205" s="272" t="s">
        <v>82</v>
      </c>
      <c r="G205" s="273" t="s">
        <v>49</v>
      </c>
      <c r="H205" s="274"/>
    </row>
    <row r="206" ht="27.0" customHeight="1">
      <c r="A206" s="86"/>
      <c r="B206" s="86"/>
      <c r="D206" s="275" t="str">
        <f t="array" ref="D206">IFERROR(INDEX('計測入力シート（ここのみ編集可）'!$BN$17:$BN$116,MATCH(A205&amp;B205,'計測入力シート（ここのみ編集可）'!$BO$17:$BO$116,0)),"")</f>
        <v/>
      </c>
      <c r="E206" s="276" t="str">
        <f t="array" ref="E206">IFERROR(INDEX('計測入力シート（ここのみ編集可）'!$BP$17:$BP$116,MATCH(A205&amp;B205,'計測入力シート（ここのみ編集可）'!$BO$17:$BO$116,0)),"")</f>
        <v/>
      </c>
      <c r="F206" s="277" t="str">
        <f t="array" ref="F206">IFERROR(INDEX('計測入力シート（ここのみ編集可）'!$BR$17:$BR$116,MATCH(A205&amp;B205,'計測入力シート（ここのみ編集可）'!$BO$17:$BO$116,0)),"")</f>
        <v/>
      </c>
      <c r="G206" s="278" t="str">
        <f t="array" ref="G206">IFERROR(INDEX('計測入力シート（ここのみ編集可）'!$BL$17:$BL$116,MATCH(A205&amp;B205,'計測入力シート（ここのみ編集可）'!$BO$17:$BO$116,0)),"")</f>
        <v/>
      </c>
      <c r="H206" s="279"/>
    </row>
    <row r="207" ht="27.0" customHeight="1">
      <c r="D207" s="280" t="s">
        <v>2</v>
      </c>
      <c r="E207" s="281" t="str">
        <f t="array" ref="E207">IFERROR(INDEX('計測入力シート（ここのみ編集可）'!$C$17:$C$116,MATCH(A205&amp;B205,'計測入力シート（ここのみ編集可）'!$BO$17:$BO$116,0)),"")</f>
        <v/>
      </c>
      <c r="F207" s="282" t="s">
        <v>17</v>
      </c>
      <c r="G207" s="283" t="str">
        <f t="array" ref="G207">IFERROR(INDEX('計測入力シート（ここのみ編集可）'!$D$17:$D$116,MATCH(A205&amp;B205,'計測入力シート（ここのみ編集可）'!$BO$17:$BO$116,0)),"")</f>
        <v/>
      </c>
      <c r="H207" s="284"/>
    </row>
    <row r="208" ht="27.0" customHeight="1">
      <c r="D208" s="285" t="s">
        <v>1</v>
      </c>
      <c r="E208" s="286" t="str">
        <f t="array" ref="E208">IFERROR(INDEX('計測入力シート（ここのみ編集可）'!$B$17:$B$116,MATCH(A205&amp;B205,'計測入力シート（ここのみ編集可）'!$BO$17:$BO$116,0)),"")</f>
        <v/>
      </c>
      <c r="F208" s="287" t="s">
        <v>18</v>
      </c>
      <c r="G208" s="288" t="str">
        <f t="array" ref="G208">IFERROR(INDEX('計測入力シート（ここのみ編集可）'!$E$17:$E$116,MATCH(A205&amp;B205,'計測入力シート（ここのみ編集可）'!$BO$17:$BO$116,0)),"")</f>
        <v/>
      </c>
      <c r="H208" s="289"/>
    </row>
    <row r="209" ht="24.75" customHeight="1">
      <c r="D209" s="290" t="s">
        <v>92</v>
      </c>
      <c r="E209" s="291" t="str">
        <f t="array" ref="E209">IFERROR(INDEX(#REF!,MATCH(A205&amp;B205,'計測入力シート（ここのみ編集可）'!$BO$17:$BO$116,0)),"")</f>
        <v/>
      </c>
      <c r="H209" s="232"/>
    </row>
    <row r="210" ht="52.5" customHeight="1">
      <c r="D210" s="292" t="s">
        <v>100</v>
      </c>
      <c r="E210" s="293" t="str">
        <f t="array" ref="E210">IFERROR(INDEX(#REF!,MATCH(A205&amp;B205,'計測入力シート（ここのみ編集可）'!$BO$17:$BO$116,0)),"")</f>
        <v/>
      </c>
      <c r="F210" s="95"/>
      <c r="G210" s="95"/>
      <c r="H210" s="96"/>
    </row>
    <row r="211" ht="20.25" customHeight="1">
      <c r="D211" s="294" t="s">
        <v>39</v>
      </c>
      <c r="E211" s="295" t="str">
        <f t="array" ref="E211">IFERROR(INDEX('計測入力シート（ここのみ編集可）'!$AW$17:$AW$116,MATCH(A205&amp;B205,'計測入力シート（ここのみ編集可）'!$BO$17:$BO$116,0)),"")</f>
        <v/>
      </c>
      <c r="F211" s="296"/>
      <c r="G211" s="297" t="s">
        <v>110</v>
      </c>
      <c r="H211" s="298" t="str">
        <f t="array" ref="H211">IFERROR(INDEX('計測入力シート（ここのみ編集可）'!$AY$17:$AY$116,MATCH(A205&amp;B205,'計測入力シート（ここのみ編集可）'!$BO$17:$BO$116,0)),"")</f>
        <v/>
      </c>
    </row>
    <row r="212" ht="20.25" customHeight="1">
      <c r="D212" s="299" t="s">
        <v>42</v>
      </c>
      <c r="E212" s="300" t="str">
        <f t="array" ref="E212">IFERROR(INDEX('計測入力シート（ここのみ編集可）'!$AZ$17:$AZ$116,MATCH(A205&amp;B205,'計測入力シート（ここのみ編集可）'!$BO$17:$BO$116,0)),"")</f>
        <v/>
      </c>
      <c r="F212" s="116"/>
      <c r="G212" s="301" t="s">
        <v>111</v>
      </c>
      <c r="H212" s="302" t="str">
        <f t="array" ref="H212">IFERROR(INDEX('計測入力シート（ここのみ編集可）'!$BB$17:$BB$116,MATCH(A205&amp;B205,'計測入力シート（ここのみ編集可）'!$BO$17:$BO$116,0)),"")</f>
        <v/>
      </c>
    </row>
    <row r="213" ht="20.25" customHeight="1">
      <c r="D213" s="303" t="s">
        <v>112</v>
      </c>
      <c r="E213" s="304" t="str">
        <f t="array" ref="E213">IFERROR(INDEX('計測入力シート（ここのみ編集可）'!$BC$17:$BC$116,MATCH(A205&amp;B205,'計測入力シート（ここのみ編集可）'!$BO$17:$BO$116,0)),"")</f>
        <v/>
      </c>
      <c r="F213" s="305"/>
      <c r="G213" s="306" t="s">
        <v>25</v>
      </c>
      <c r="H213" s="307" t="str">
        <f t="array" ref="H213">IFERROR(INDEX('計測入力シート（ここのみ編集可）'!$BD$17:$BD$116,MATCH(A205&amp;B205,'計測入力シート（ここのみ編集可）'!$BO$17:$BO$116,0)),"")</f>
        <v/>
      </c>
    </row>
    <row r="214" ht="20.25" customHeight="1">
      <c r="D214" s="308"/>
    </row>
    <row r="215" ht="27.0" customHeight="1">
      <c r="A215" s="52" t="str">
        <f>A205</f>
        <v>C1</v>
      </c>
      <c r="B215" s="52">
        <f>B205+1</f>
        <v>22</v>
      </c>
      <c r="D215" s="271" t="s">
        <v>80</v>
      </c>
      <c r="E215" s="272" t="s">
        <v>81</v>
      </c>
      <c r="F215" s="272" t="s">
        <v>82</v>
      </c>
      <c r="G215" s="273" t="s">
        <v>49</v>
      </c>
      <c r="H215" s="274"/>
    </row>
    <row r="216" ht="27.0" customHeight="1">
      <c r="A216" s="86"/>
      <c r="B216" s="86"/>
      <c r="D216" s="275" t="str">
        <f t="array" ref="D216">IFERROR(INDEX('計測入力シート（ここのみ編集可）'!$BN$17:$BN$116,MATCH(A215&amp;B215,'計測入力シート（ここのみ編集可）'!$BO$17:$BO$116,0)),"")</f>
        <v/>
      </c>
      <c r="E216" s="276" t="str">
        <f t="array" ref="E216">IFERROR(INDEX('計測入力シート（ここのみ編集可）'!$BP$17:$BP$116,MATCH(A215&amp;B215,'計測入力シート（ここのみ編集可）'!$BO$17:$BO$116,0)),"")</f>
        <v/>
      </c>
      <c r="F216" s="277" t="str">
        <f t="array" ref="F216">IFERROR(INDEX('計測入力シート（ここのみ編集可）'!$BR$17:$BR$116,MATCH(A215&amp;B215,'計測入力シート（ここのみ編集可）'!$BO$17:$BO$116,0)),"")</f>
        <v/>
      </c>
      <c r="G216" s="278" t="str">
        <f t="array" ref="G216">IFERROR(INDEX('計測入力シート（ここのみ編集可）'!$BL$17:$BL$116,MATCH(A215&amp;B215,'計測入力シート（ここのみ編集可）'!$BO$17:$BO$116,0)),"")</f>
        <v/>
      </c>
      <c r="H216" s="279"/>
    </row>
    <row r="217" ht="27.0" customHeight="1">
      <c r="D217" s="280" t="s">
        <v>2</v>
      </c>
      <c r="E217" s="281" t="str">
        <f t="array" ref="E217">IFERROR(INDEX('計測入力シート（ここのみ編集可）'!$C$17:$C$116,MATCH(A215&amp;B215,'計測入力シート（ここのみ編集可）'!$BO$17:$BO$116,0)),"")</f>
        <v/>
      </c>
      <c r="F217" s="282" t="s">
        <v>17</v>
      </c>
      <c r="G217" s="283" t="str">
        <f t="array" ref="G217">IFERROR(INDEX('計測入力シート（ここのみ編集可）'!$D$17:$D$116,MATCH(A215&amp;B215,'計測入力シート（ここのみ編集可）'!$BO$17:$BO$116,0)),"")</f>
        <v/>
      </c>
      <c r="H217" s="284"/>
    </row>
    <row r="218" ht="27.0" customHeight="1">
      <c r="D218" s="285" t="s">
        <v>1</v>
      </c>
      <c r="E218" s="286" t="str">
        <f t="array" ref="E218">IFERROR(INDEX('計測入力シート（ここのみ編集可）'!$B$17:$B$116,MATCH(A215&amp;B215,'計測入力シート（ここのみ編集可）'!$BO$17:$BO$116,0)),"")</f>
        <v/>
      </c>
      <c r="F218" s="287" t="s">
        <v>18</v>
      </c>
      <c r="G218" s="288" t="str">
        <f t="array" ref="G218">IFERROR(INDEX('計測入力シート（ここのみ編集可）'!$E$17:$E$116,MATCH(A215&amp;B215,'計測入力シート（ここのみ編集可）'!$BO$17:$BO$116,0)),"")</f>
        <v/>
      </c>
      <c r="H218" s="289"/>
    </row>
    <row r="219" ht="24.75" customHeight="1">
      <c r="D219" s="290" t="s">
        <v>92</v>
      </c>
      <c r="E219" s="291" t="str">
        <f t="array" ref="E219">IFERROR(INDEX(#REF!,MATCH(A215&amp;B215,'計測入力シート（ここのみ編集可）'!$BO$17:$BO$116,0)),"")</f>
        <v/>
      </c>
      <c r="H219" s="232"/>
    </row>
    <row r="220" ht="52.5" customHeight="1">
      <c r="D220" s="292" t="s">
        <v>100</v>
      </c>
      <c r="E220" s="293" t="str">
        <f t="array" ref="E220">IFERROR(INDEX(#REF!,MATCH(A215&amp;B215,'計測入力シート（ここのみ編集可）'!$BO$17:$BO$116,0)),"")</f>
        <v/>
      </c>
      <c r="F220" s="95"/>
      <c r="G220" s="95"/>
      <c r="H220" s="96"/>
    </row>
    <row r="221" ht="20.25" customHeight="1">
      <c r="D221" s="294" t="s">
        <v>39</v>
      </c>
      <c r="E221" s="295" t="str">
        <f t="array" ref="E221">IFERROR(INDEX('計測入力シート（ここのみ編集可）'!$AW$17:$AW$116,MATCH(A215&amp;B215,'計測入力シート（ここのみ編集可）'!$BO$17:$BO$116,0)),"")</f>
        <v/>
      </c>
      <c r="F221" s="296"/>
      <c r="G221" s="297" t="s">
        <v>110</v>
      </c>
      <c r="H221" s="298" t="str">
        <f t="array" ref="H221">IFERROR(INDEX('計測入力シート（ここのみ編集可）'!$AY$17:$AY$116,MATCH(A215&amp;B215,'計測入力シート（ここのみ編集可）'!$BO$17:$BO$116,0)),"")</f>
        <v/>
      </c>
    </row>
    <row r="222" ht="20.25" customHeight="1">
      <c r="D222" s="299" t="s">
        <v>42</v>
      </c>
      <c r="E222" s="300" t="str">
        <f t="array" ref="E222">IFERROR(INDEX('計測入力シート（ここのみ編集可）'!$AZ$17:$AZ$116,MATCH(A215&amp;B215,'計測入力シート（ここのみ編集可）'!$BO$17:$BO$116,0)),"")</f>
        <v/>
      </c>
      <c r="F222" s="116"/>
      <c r="G222" s="301" t="s">
        <v>111</v>
      </c>
      <c r="H222" s="302" t="str">
        <f t="array" ref="H222">IFERROR(INDEX('計測入力シート（ここのみ編集可）'!$BB$17:$BB$116,MATCH(A215&amp;B215,'計測入力シート（ここのみ編集可）'!$BO$17:$BO$116,0)),"")</f>
        <v/>
      </c>
    </row>
    <row r="223" ht="20.25" customHeight="1">
      <c r="D223" s="303" t="s">
        <v>112</v>
      </c>
      <c r="E223" s="304" t="str">
        <f t="array" ref="E223">IFERROR(INDEX('計測入力シート（ここのみ編集可）'!$BC$17:$BC$116,MATCH(A215&amp;B215,'計測入力シート（ここのみ編集可）'!$BO$17:$BO$116,0)),"")</f>
        <v/>
      </c>
      <c r="F223" s="305"/>
      <c r="G223" s="306" t="s">
        <v>25</v>
      </c>
      <c r="H223" s="307" t="str">
        <f t="array" ref="H223">IFERROR(INDEX('計測入力シート（ここのみ編集可）'!$BD$17:$BD$116,MATCH(A215&amp;B215,'計測入力シート（ここのみ編集可）'!$BO$17:$BO$116,0)),"")</f>
        <v/>
      </c>
    </row>
    <row r="224" ht="20.25" customHeight="1">
      <c r="D224" s="308"/>
    </row>
    <row r="225" ht="27.0" customHeight="1">
      <c r="A225" s="52" t="str">
        <f>A215</f>
        <v>C1</v>
      </c>
      <c r="B225" s="52">
        <f>B215+1</f>
        <v>23</v>
      </c>
      <c r="D225" s="271" t="s">
        <v>80</v>
      </c>
      <c r="E225" s="272" t="s">
        <v>81</v>
      </c>
      <c r="F225" s="272" t="s">
        <v>82</v>
      </c>
      <c r="G225" s="273" t="s">
        <v>49</v>
      </c>
      <c r="H225" s="274"/>
    </row>
    <row r="226" ht="27.0" customHeight="1">
      <c r="A226" s="86"/>
      <c r="B226" s="86"/>
      <c r="D226" s="275" t="str">
        <f t="array" ref="D226">IFERROR(INDEX('計測入力シート（ここのみ編集可）'!$BN$17:$BN$116,MATCH(A225&amp;B225,'計測入力シート（ここのみ編集可）'!$BO$17:$BO$116,0)),"")</f>
        <v/>
      </c>
      <c r="E226" s="276" t="str">
        <f t="array" ref="E226">IFERROR(INDEX('計測入力シート（ここのみ編集可）'!$BP$17:$BP$116,MATCH(A225&amp;B225,'計測入力シート（ここのみ編集可）'!$BO$17:$BO$116,0)),"")</f>
        <v/>
      </c>
      <c r="F226" s="277" t="str">
        <f t="array" ref="F226">IFERROR(INDEX('計測入力シート（ここのみ編集可）'!$BR$17:$BR$116,MATCH(A225&amp;B225,'計測入力シート（ここのみ編集可）'!$BO$17:$BO$116,0)),"")</f>
        <v/>
      </c>
      <c r="G226" s="278" t="str">
        <f t="array" ref="G226">IFERROR(INDEX('計測入力シート（ここのみ編集可）'!$BL$17:$BL$116,MATCH(A225&amp;B225,'計測入力シート（ここのみ編集可）'!$BO$17:$BO$116,0)),"")</f>
        <v/>
      </c>
      <c r="H226" s="279"/>
    </row>
    <row r="227" ht="27.0" customHeight="1">
      <c r="D227" s="280" t="s">
        <v>2</v>
      </c>
      <c r="E227" s="281" t="str">
        <f t="array" ref="E227">IFERROR(INDEX('計測入力シート（ここのみ編集可）'!$C$17:$C$116,MATCH(A225&amp;B225,'計測入力シート（ここのみ編集可）'!$BO$17:$BO$116,0)),"")</f>
        <v/>
      </c>
      <c r="F227" s="282" t="s">
        <v>17</v>
      </c>
      <c r="G227" s="283" t="str">
        <f t="array" ref="G227">IFERROR(INDEX('計測入力シート（ここのみ編集可）'!$D$17:$D$116,MATCH(A225&amp;B225,'計測入力シート（ここのみ編集可）'!$BO$17:$BO$116,0)),"")</f>
        <v/>
      </c>
      <c r="H227" s="284"/>
    </row>
    <row r="228" ht="27.0" customHeight="1">
      <c r="D228" s="285" t="s">
        <v>1</v>
      </c>
      <c r="E228" s="286" t="str">
        <f t="array" ref="E228">IFERROR(INDEX('計測入力シート（ここのみ編集可）'!$B$17:$B$116,MATCH(A225&amp;B225,'計測入力シート（ここのみ編集可）'!$BO$17:$BO$116,0)),"")</f>
        <v/>
      </c>
      <c r="F228" s="287" t="s">
        <v>18</v>
      </c>
      <c r="G228" s="288" t="str">
        <f t="array" ref="G228">IFERROR(INDEX('計測入力シート（ここのみ編集可）'!$E$17:$E$116,MATCH(A225&amp;B225,'計測入力シート（ここのみ編集可）'!$BO$17:$BO$116,0)),"")</f>
        <v/>
      </c>
      <c r="H228" s="289"/>
    </row>
    <row r="229" ht="24.75" customHeight="1">
      <c r="D229" s="290" t="s">
        <v>92</v>
      </c>
      <c r="E229" s="291" t="str">
        <f t="array" ref="E229">IFERROR(INDEX(#REF!,MATCH(A225&amp;B225,'計測入力シート（ここのみ編集可）'!$BO$17:$BO$116,0)),"")</f>
        <v/>
      </c>
      <c r="H229" s="232"/>
    </row>
    <row r="230" ht="52.5" customHeight="1">
      <c r="D230" s="292" t="s">
        <v>100</v>
      </c>
      <c r="E230" s="293" t="str">
        <f t="array" ref="E230">IFERROR(INDEX(#REF!,MATCH(A225&amp;B225,'計測入力シート（ここのみ編集可）'!$BO$17:$BO$116,0)),"")</f>
        <v/>
      </c>
      <c r="F230" s="95"/>
      <c r="G230" s="95"/>
      <c r="H230" s="96"/>
    </row>
    <row r="231" ht="20.25" customHeight="1">
      <c r="D231" s="294" t="s">
        <v>39</v>
      </c>
      <c r="E231" s="295" t="str">
        <f t="array" ref="E231">IFERROR(INDEX('計測入力シート（ここのみ編集可）'!$AW$17:$AW$116,MATCH(A225&amp;B225,'計測入力シート（ここのみ編集可）'!$BO$17:$BO$116,0)),"")</f>
        <v/>
      </c>
      <c r="F231" s="296"/>
      <c r="G231" s="297" t="s">
        <v>110</v>
      </c>
      <c r="H231" s="298" t="str">
        <f t="array" ref="H231">IFERROR(INDEX('計測入力シート（ここのみ編集可）'!$AY$17:$AY$116,MATCH(A225&amp;B225,'計測入力シート（ここのみ編集可）'!$BO$17:$BO$116,0)),"")</f>
        <v/>
      </c>
    </row>
    <row r="232" ht="20.25" customHeight="1">
      <c r="D232" s="299" t="s">
        <v>42</v>
      </c>
      <c r="E232" s="300" t="str">
        <f t="array" ref="E232">IFERROR(INDEX('計測入力シート（ここのみ編集可）'!$AZ$17:$AZ$116,MATCH(A225&amp;B225,'計測入力シート（ここのみ編集可）'!$BO$17:$BO$116,0)),"")</f>
        <v/>
      </c>
      <c r="F232" s="116"/>
      <c r="G232" s="301" t="s">
        <v>111</v>
      </c>
      <c r="H232" s="302" t="str">
        <f t="array" ref="H232">IFERROR(INDEX('計測入力シート（ここのみ編集可）'!$BB$17:$BB$116,MATCH(A225&amp;B225,'計測入力シート（ここのみ編集可）'!$BO$17:$BO$116,0)),"")</f>
        <v/>
      </c>
    </row>
    <row r="233" ht="20.25" customHeight="1">
      <c r="D233" s="303" t="s">
        <v>112</v>
      </c>
      <c r="E233" s="304" t="str">
        <f t="array" ref="E233">IFERROR(INDEX('計測入力シート（ここのみ編集可）'!$BC$17:$BC$116,MATCH(A225&amp;B225,'計測入力シート（ここのみ編集可）'!$BO$17:$BO$116,0)),"")</f>
        <v/>
      </c>
      <c r="F233" s="305"/>
      <c r="G233" s="306" t="s">
        <v>25</v>
      </c>
      <c r="H233" s="307" t="str">
        <f t="array" ref="H233">IFERROR(INDEX('計測入力シート（ここのみ編集可）'!$BD$17:$BD$116,MATCH(A225&amp;B225,'計測入力シート（ここのみ編集可）'!$BO$17:$BO$116,0)),"")</f>
        <v/>
      </c>
    </row>
    <row r="234" ht="20.25" customHeight="1">
      <c r="D234" s="308"/>
    </row>
    <row r="235" ht="27.0" customHeight="1">
      <c r="A235" s="52" t="str">
        <f>A225</f>
        <v>C1</v>
      </c>
      <c r="B235" s="52">
        <f>B225+1</f>
        <v>24</v>
      </c>
      <c r="D235" s="271" t="s">
        <v>80</v>
      </c>
      <c r="E235" s="272" t="s">
        <v>81</v>
      </c>
      <c r="F235" s="272" t="s">
        <v>82</v>
      </c>
      <c r="G235" s="273" t="s">
        <v>49</v>
      </c>
      <c r="H235" s="274"/>
    </row>
    <row r="236" ht="27.0" customHeight="1">
      <c r="A236" s="86"/>
      <c r="B236" s="86"/>
      <c r="D236" s="275" t="str">
        <f t="array" ref="D236">IFERROR(INDEX('計測入力シート（ここのみ編集可）'!$BN$17:$BN$116,MATCH(A235&amp;B235,'計測入力シート（ここのみ編集可）'!$BO$17:$BO$116,0)),"")</f>
        <v/>
      </c>
      <c r="E236" s="276" t="str">
        <f t="array" ref="E236">IFERROR(INDEX('計測入力シート（ここのみ編集可）'!$BP$17:$BP$116,MATCH(A235&amp;B235,'計測入力シート（ここのみ編集可）'!$BO$17:$BO$116,0)),"")</f>
        <v/>
      </c>
      <c r="F236" s="277" t="str">
        <f t="array" ref="F236">IFERROR(INDEX('計測入力シート（ここのみ編集可）'!$BR$17:$BR$116,MATCH(A235&amp;B235,'計測入力シート（ここのみ編集可）'!$BO$17:$BO$116,0)),"")</f>
        <v/>
      </c>
      <c r="G236" s="278" t="str">
        <f t="array" ref="G236">IFERROR(INDEX('計測入力シート（ここのみ編集可）'!$BL$17:$BL$116,MATCH(A235&amp;B235,'計測入力シート（ここのみ編集可）'!$BO$17:$BO$116,0)),"")</f>
        <v/>
      </c>
      <c r="H236" s="279"/>
    </row>
    <row r="237" ht="27.0" customHeight="1">
      <c r="D237" s="280" t="s">
        <v>2</v>
      </c>
      <c r="E237" s="281" t="str">
        <f t="array" ref="E237">IFERROR(INDEX('計測入力シート（ここのみ編集可）'!$C$17:$C$116,MATCH(A235&amp;B235,'計測入力シート（ここのみ編集可）'!$BO$17:$BO$116,0)),"")</f>
        <v/>
      </c>
      <c r="F237" s="282" t="s">
        <v>17</v>
      </c>
      <c r="G237" s="283" t="str">
        <f t="array" ref="G237">IFERROR(INDEX('計測入力シート（ここのみ編集可）'!$D$17:$D$116,MATCH(A235&amp;B235,'計測入力シート（ここのみ編集可）'!$BO$17:$BO$116,0)),"")</f>
        <v/>
      </c>
      <c r="H237" s="284"/>
    </row>
    <row r="238" ht="27.0" customHeight="1">
      <c r="D238" s="285" t="s">
        <v>1</v>
      </c>
      <c r="E238" s="286" t="str">
        <f t="array" ref="E238">IFERROR(INDEX('計測入力シート（ここのみ編集可）'!$B$17:$B$116,MATCH(A235&amp;B235,'計測入力シート（ここのみ編集可）'!$BO$17:$BO$116,0)),"")</f>
        <v/>
      </c>
      <c r="F238" s="287" t="s">
        <v>18</v>
      </c>
      <c r="G238" s="288" t="str">
        <f t="array" ref="G238">IFERROR(INDEX('計測入力シート（ここのみ編集可）'!$E$17:$E$116,MATCH(A235&amp;B235,'計測入力シート（ここのみ編集可）'!$BO$17:$BO$116,0)),"")</f>
        <v/>
      </c>
      <c r="H238" s="289"/>
    </row>
    <row r="239" ht="24.75" customHeight="1">
      <c r="D239" s="290" t="s">
        <v>92</v>
      </c>
      <c r="E239" s="291" t="str">
        <f t="array" ref="E239">IFERROR(INDEX(#REF!,MATCH(A235&amp;B235,'計測入力シート（ここのみ編集可）'!$BO$17:$BO$116,0)),"")</f>
        <v/>
      </c>
      <c r="H239" s="232"/>
    </row>
    <row r="240" ht="52.5" customHeight="1">
      <c r="D240" s="292" t="s">
        <v>100</v>
      </c>
      <c r="E240" s="293" t="str">
        <f t="array" ref="E240">IFERROR(INDEX(#REF!,MATCH(A235&amp;B235,'計測入力シート（ここのみ編集可）'!$BO$17:$BO$116,0)),"")</f>
        <v/>
      </c>
      <c r="F240" s="95"/>
      <c r="G240" s="95"/>
      <c r="H240" s="96"/>
    </row>
    <row r="241" ht="20.25" customHeight="1">
      <c r="D241" s="294" t="s">
        <v>39</v>
      </c>
      <c r="E241" s="295" t="str">
        <f t="array" ref="E241">IFERROR(INDEX('計測入力シート（ここのみ編集可）'!$AW$17:$AW$116,MATCH(A235&amp;B235,'計測入力シート（ここのみ編集可）'!$BO$17:$BO$116,0)),"")</f>
        <v/>
      </c>
      <c r="F241" s="296"/>
      <c r="G241" s="297" t="s">
        <v>110</v>
      </c>
      <c r="H241" s="298" t="str">
        <f t="array" ref="H241">IFERROR(INDEX('計測入力シート（ここのみ編集可）'!$AY$17:$AY$116,MATCH(A235&amp;B235,'計測入力シート（ここのみ編集可）'!$BO$17:$BO$116,0)),"")</f>
        <v/>
      </c>
    </row>
    <row r="242" ht="20.25" customHeight="1">
      <c r="D242" s="299" t="s">
        <v>42</v>
      </c>
      <c r="E242" s="300" t="str">
        <f t="array" ref="E242">IFERROR(INDEX('計測入力シート（ここのみ編集可）'!$AZ$17:$AZ$116,MATCH(A235&amp;B235,'計測入力シート（ここのみ編集可）'!$BO$17:$BO$116,0)),"")</f>
        <v/>
      </c>
      <c r="F242" s="116"/>
      <c r="G242" s="301" t="s">
        <v>111</v>
      </c>
      <c r="H242" s="302" t="str">
        <f t="array" ref="H242">IFERROR(INDEX('計測入力シート（ここのみ編集可）'!$BB$17:$BB$116,MATCH(A235&amp;B235,'計測入力シート（ここのみ編集可）'!$BO$17:$BO$116,0)),"")</f>
        <v/>
      </c>
    </row>
    <row r="243" ht="20.25" customHeight="1">
      <c r="D243" s="303" t="s">
        <v>112</v>
      </c>
      <c r="E243" s="304" t="str">
        <f t="array" ref="E243">IFERROR(INDEX('計測入力シート（ここのみ編集可）'!$BC$17:$BC$116,MATCH(A235&amp;B235,'計測入力シート（ここのみ編集可）'!$BO$17:$BO$116,0)),"")</f>
        <v/>
      </c>
      <c r="F243" s="305"/>
      <c r="G243" s="306" t="s">
        <v>25</v>
      </c>
      <c r="H243" s="307" t="str">
        <f t="array" ref="H243">IFERROR(INDEX('計測入力シート（ここのみ編集可）'!$BD$17:$BD$116,MATCH(A235&amp;B235,'計測入力シート（ここのみ編集可）'!$BO$17:$BO$116,0)),"")</f>
        <v/>
      </c>
    </row>
    <row r="244" ht="20.25" customHeight="1">
      <c r="D244" s="308"/>
    </row>
    <row r="245" ht="27.0" customHeight="1">
      <c r="A245" s="52" t="str">
        <f>A235</f>
        <v>C1</v>
      </c>
      <c r="B245" s="52">
        <f>B235+1</f>
        <v>25</v>
      </c>
      <c r="D245" s="271" t="s">
        <v>80</v>
      </c>
      <c r="E245" s="272" t="s">
        <v>81</v>
      </c>
      <c r="F245" s="272" t="s">
        <v>82</v>
      </c>
      <c r="G245" s="273" t="s">
        <v>49</v>
      </c>
      <c r="H245" s="274"/>
    </row>
    <row r="246" ht="27.0" customHeight="1">
      <c r="A246" s="86"/>
      <c r="B246" s="86"/>
      <c r="D246" s="275" t="str">
        <f t="array" ref="D246">IFERROR(INDEX('計測入力シート（ここのみ編集可）'!$BN$17:$BN$116,MATCH(A245&amp;B245,'計測入力シート（ここのみ編集可）'!$BO$17:$BO$116,0)),"")</f>
        <v/>
      </c>
      <c r="E246" s="276" t="str">
        <f t="array" ref="E246">IFERROR(INDEX('計測入力シート（ここのみ編集可）'!$BP$17:$BP$116,MATCH(A245&amp;B245,'計測入力シート（ここのみ編集可）'!$BO$17:$BO$116,0)),"")</f>
        <v/>
      </c>
      <c r="F246" s="277" t="str">
        <f t="array" ref="F246">IFERROR(INDEX('計測入力シート（ここのみ編集可）'!$BR$17:$BR$116,MATCH(A245&amp;B245,'計測入力シート（ここのみ編集可）'!$BO$17:$BO$116,0)),"")</f>
        <v/>
      </c>
      <c r="G246" s="278" t="str">
        <f t="array" ref="G246">IFERROR(INDEX('計測入力シート（ここのみ編集可）'!$BL$17:$BL$116,MATCH(A245&amp;B245,'計測入力シート（ここのみ編集可）'!$BO$17:$BO$116,0)),"")</f>
        <v/>
      </c>
      <c r="H246" s="279"/>
    </row>
    <row r="247" ht="27.0" customHeight="1">
      <c r="D247" s="280" t="s">
        <v>2</v>
      </c>
      <c r="E247" s="281" t="str">
        <f t="array" ref="E247">IFERROR(INDEX('計測入力シート（ここのみ編集可）'!$C$17:$C$116,MATCH(A245&amp;B245,'計測入力シート（ここのみ編集可）'!$BO$17:$BO$116,0)),"")</f>
        <v/>
      </c>
      <c r="F247" s="282" t="s">
        <v>17</v>
      </c>
      <c r="G247" s="283" t="str">
        <f t="array" ref="G247">IFERROR(INDEX('計測入力シート（ここのみ編集可）'!$D$17:$D$116,MATCH(A245&amp;B245,'計測入力シート（ここのみ編集可）'!$BO$17:$BO$116,0)),"")</f>
        <v/>
      </c>
      <c r="H247" s="284"/>
    </row>
    <row r="248" ht="27.0" customHeight="1">
      <c r="D248" s="285" t="s">
        <v>1</v>
      </c>
      <c r="E248" s="286" t="str">
        <f t="array" ref="E248">IFERROR(INDEX('計測入力シート（ここのみ編集可）'!$B$17:$B$116,MATCH(A245&amp;B245,'計測入力シート（ここのみ編集可）'!$BO$17:$BO$116,0)),"")</f>
        <v/>
      </c>
      <c r="F248" s="287" t="s">
        <v>18</v>
      </c>
      <c r="G248" s="288" t="str">
        <f t="array" ref="G248">IFERROR(INDEX('計測入力シート（ここのみ編集可）'!$E$17:$E$116,MATCH(A245&amp;B245,'計測入力シート（ここのみ編集可）'!$BO$17:$BO$116,0)),"")</f>
        <v/>
      </c>
      <c r="H248" s="289"/>
    </row>
    <row r="249" ht="24.75" customHeight="1">
      <c r="D249" s="290" t="s">
        <v>92</v>
      </c>
      <c r="E249" s="291" t="str">
        <f t="array" ref="E249">IFERROR(INDEX(#REF!,MATCH(A245&amp;B245,'計測入力シート（ここのみ編集可）'!$BO$17:$BO$116,0)),"")</f>
        <v/>
      </c>
      <c r="H249" s="232"/>
    </row>
    <row r="250" ht="52.5" customHeight="1">
      <c r="D250" s="292" t="s">
        <v>100</v>
      </c>
      <c r="E250" s="293" t="str">
        <f t="array" ref="E250">IFERROR(INDEX(#REF!,MATCH(A245&amp;B245,'計測入力シート（ここのみ編集可）'!$BO$17:$BO$116,0)),"")</f>
        <v/>
      </c>
      <c r="F250" s="95"/>
      <c r="G250" s="95"/>
      <c r="H250" s="96"/>
    </row>
    <row r="251" ht="20.25" customHeight="1">
      <c r="D251" s="294" t="s">
        <v>39</v>
      </c>
      <c r="E251" s="295" t="str">
        <f t="array" ref="E251">IFERROR(INDEX('計測入力シート（ここのみ編集可）'!$AW$17:$AW$116,MATCH(A245&amp;B245,'計測入力シート（ここのみ編集可）'!$BO$17:$BO$116,0)),"")</f>
        <v/>
      </c>
      <c r="F251" s="296"/>
      <c r="G251" s="297" t="s">
        <v>110</v>
      </c>
      <c r="H251" s="298" t="str">
        <f t="array" ref="H251">IFERROR(INDEX('計測入力シート（ここのみ編集可）'!$AY$17:$AY$116,MATCH(A245&amp;B245,'計測入力シート（ここのみ編集可）'!$BO$17:$BO$116,0)),"")</f>
        <v/>
      </c>
    </row>
    <row r="252" ht="20.25" customHeight="1">
      <c r="D252" s="299" t="s">
        <v>42</v>
      </c>
      <c r="E252" s="300" t="str">
        <f t="array" ref="E252">IFERROR(INDEX('計測入力シート（ここのみ編集可）'!$AZ$17:$AZ$116,MATCH(A245&amp;B245,'計測入力シート（ここのみ編集可）'!$BO$17:$BO$116,0)),"")</f>
        <v/>
      </c>
      <c r="F252" s="116"/>
      <c r="G252" s="301" t="s">
        <v>111</v>
      </c>
      <c r="H252" s="302" t="str">
        <f t="array" ref="H252">IFERROR(INDEX('計測入力シート（ここのみ編集可）'!$BB$17:$BB$116,MATCH(A245&amp;B245,'計測入力シート（ここのみ編集可）'!$BO$17:$BO$116,0)),"")</f>
        <v/>
      </c>
    </row>
    <row r="253" ht="20.25" customHeight="1">
      <c r="D253" s="303" t="s">
        <v>112</v>
      </c>
      <c r="E253" s="304" t="str">
        <f t="array" ref="E253">IFERROR(INDEX('計測入力シート（ここのみ編集可）'!$BC$17:$BC$116,MATCH(A245&amp;B245,'計測入力シート（ここのみ編集可）'!$BO$17:$BO$116,0)),"")</f>
        <v/>
      </c>
      <c r="F253" s="305"/>
      <c r="G253" s="306" t="s">
        <v>25</v>
      </c>
      <c r="H253" s="307" t="str">
        <f t="array" ref="H253">IFERROR(INDEX('計測入力シート（ここのみ編集可）'!$BD$17:$BD$116,MATCH(A245&amp;B245,'計測入力シート（ここのみ編集可）'!$BO$17:$BO$116,0)),"")</f>
        <v/>
      </c>
    </row>
    <row r="254" ht="20.25" customHeight="1">
      <c r="D254" s="308"/>
    </row>
    <row r="255" ht="27.0" customHeight="1">
      <c r="A255" s="52" t="str">
        <f>A245</f>
        <v>C1</v>
      </c>
      <c r="B255" s="52">
        <f>B245+1</f>
        <v>26</v>
      </c>
      <c r="D255" s="271" t="s">
        <v>80</v>
      </c>
      <c r="E255" s="272" t="s">
        <v>81</v>
      </c>
      <c r="F255" s="272" t="s">
        <v>82</v>
      </c>
      <c r="G255" s="273" t="s">
        <v>49</v>
      </c>
      <c r="H255" s="274"/>
    </row>
    <row r="256" ht="27.0" customHeight="1">
      <c r="A256" s="86"/>
      <c r="B256" s="86"/>
      <c r="D256" s="275" t="str">
        <f t="array" ref="D256">IFERROR(INDEX('計測入力シート（ここのみ編集可）'!$BN$17:$BN$116,MATCH(A255&amp;B255,'計測入力シート（ここのみ編集可）'!$BO$17:$BO$116,0)),"")</f>
        <v/>
      </c>
      <c r="E256" s="276" t="str">
        <f t="array" ref="E256">IFERROR(INDEX('計測入力シート（ここのみ編集可）'!$BP$17:$BP$116,MATCH(A255&amp;B255,'計測入力シート（ここのみ編集可）'!$BO$17:$BO$116,0)),"")</f>
        <v/>
      </c>
      <c r="F256" s="277" t="str">
        <f t="array" ref="F256">IFERROR(INDEX('計測入力シート（ここのみ編集可）'!$BR$17:$BR$116,MATCH(A255&amp;B255,'計測入力シート（ここのみ編集可）'!$BO$17:$BO$116,0)),"")</f>
        <v/>
      </c>
      <c r="G256" s="278" t="str">
        <f t="array" ref="G256">IFERROR(INDEX('計測入力シート（ここのみ編集可）'!$BL$17:$BL$116,MATCH(A255&amp;B255,'計測入力シート（ここのみ編集可）'!$BO$17:$BO$116,0)),"")</f>
        <v/>
      </c>
      <c r="H256" s="279"/>
    </row>
    <row r="257" ht="27.0" customHeight="1">
      <c r="D257" s="280" t="s">
        <v>2</v>
      </c>
      <c r="E257" s="281" t="str">
        <f t="array" ref="E257">IFERROR(INDEX('計測入力シート（ここのみ編集可）'!$C$17:$C$116,MATCH(A255&amp;B255,'計測入力シート（ここのみ編集可）'!$BO$17:$BO$116,0)),"")</f>
        <v/>
      </c>
      <c r="F257" s="282" t="s">
        <v>17</v>
      </c>
      <c r="G257" s="283" t="str">
        <f t="array" ref="G257">IFERROR(INDEX('計測入力シート（ここのみ編集可）'!$D$17:$D$116,MATCH(A255&amp;B255,'計測入力シート（ここのみ編集可）'!$BO$17:$BO$116,0)),"")</f>
        <v/>
      </c>
      <c r="H257" s="284"/>
    </row>
    <row r="258" ht="27.0" customHeight="1">
      <c r="D258" s="285" t="s">
        <v>1</v>
      </c>
      <c r="E258" s="286" t="str">
        <f t="array" ref="E258">IFERROR(INDEX('計測入力シート（ここのみ編集可）'!$B$17:$B$116,MATCH(A255&amp;B255,'計測入力シート（ここのみ編集可）'!$BO$17:$BO$116,0)),"")</f>
        <v/>
      </c>
      <c r="F258" s="287" t="s">
        <v>18</v>
      </c>
      <c r="G258" s="288" t="str">
        <f t="array" ref="G258">IFERROR(INDEX('計測入力シート（ここのみ編集可）'!$E$17:$E$116,MATCH(A255&amp;B255,'計測入力シート（ここのみ編集可）'!$BO$17:$BO$116,0)),"")</f>
        <v/>
      </c>
      <c r="H258" s="289"/>
    </row>
    <row r="259" ht="24.75" customHeight="1">
      <c r="D259" s="290" t="s">
        <v>92</v>
      </c>
      <c r="E259" s="291" t="str">
        <f t="array" ref="E259">IFERROR(INDEX(#REF!,MATCH(A255&amp;B255,'計測入力シート（ここのみ編集可）'!$BO$17:$BO$116,0)),"")</f>
        <v/>
      </c>
      <c r="H259" s="232"/>
    </row>
    <row r="260" ht="52.5" customHeight="1">
      <c r="D260" s="292" t="s">
        <v>100</v>
      </c>
      <c r="E260" s="293" t="str">
        <f t="array" ref="E260">IFERROR(INDEX(#REF!,MATCH(A255&amp;B255,'計測入力シート（ここのみ編集可）'!$BO$17:$BO$116,0)),"")</f>
        <v/>
      </c>
      <c r="F260" s="95"/>
      <c r="G260" s="95"/>
      <c r="H260" s="96"/>
    </row>
    <row r="261" ht="20.25" customHeight="1">
      <c r="D261" s="294" t="s">
        <v>39</v>
      </c>
      <c r="E261" s="295" t="str">
        <f t="array" ref="E261">IFERROR(INDEX('計測入力シート（ここのみ編集可）'!$AW$17:$AW$116,MATCH(A255&amp;B255,'計測入力シート（ここのみ編集可）'!$BO$17:$BO$116,0)),"")</f>
        <v/>
      </c>
      <c r="F261" s="296"/>
      <c r="G261" s="297" t="s">
        <v>110</v>
      </c>
      <c r="H261" s="298" t="str">
        <f t="array" ref="H261">IFERROR(INDEX('計測入力シート（ここのみ編集可）'!$AY$17:$AY$116,MATCH(A255&amp;B255,'計測入力シート（ここのみ編集可）'!$BO$17:$BO$116,0)),"")</f>
        <v/>
      </c>
    </row>
    <row r="262" ht="20.25" customHeight="1">
      <c r="D262" s="299" t="s">
        <v>42</v>
      </c>
      <c r="E262" s="300" t="str">
        <f t="array" ref="E262">IFERROR(INDEX('計測入力シート（ここのみ編集可）'!$AZ$17:$AZ$116,MATCH(A255&amp;B255,'計測入力シート（ここのみ編集可）'!$BO$17:$BO$116,0)),"")</f>
        <v/>
      </c>
      <c r="F262" s="116"/>
      <c r="G262" s="301" t="s">
        <v>111</v>
      </c>
      <c r="H262" s="302" t="str">
        <f t="array" ref="H262">IFERROR(INDEX('計測入力シート（ここのみ編集可）'!$BB$17:$BB$116,MATCH(A255&amp;B255,'計測入力シート（ここのみ編集可）'!$BO$17:$BO$116,0)),"")</f>
        <v/>
      </c>
    </row>
    <row r="263" ht="20.25" customHeight="1">
      <c r="D263" s="303" t="s">
        <v>112</v>
      </c>
      <c r="E263" s="304" t="str">
        <f t="array" ref="E263">IFERROR(INDEX('計測入力シート（ここのみ編集可）'!$BC$17:$BC$116,MATCH(A255&amp;B255,'計測入力シート（ここのみ編集可）'!$BO$17:$BO$116,0)),"")</f>
        <v/>
      </c>
      <c r="F263" s="305"/>
      <c r="G263" s="306" t="s">
        <v>25</v>
      </c>
      <c r="H263" s="307" t="str">
        <f t="array" ref="H263">IFERROR(INDEX('計測入力シート（ここのみ編集可）'!$BD$17:$BD$116,MATCH(A255&amp;B255,'計測入力シート（ここのみ編集可）'!$BO$17:$BO$116,0)),"")</f>
        <v/>
      </c>
    </row>
    <row r="264" ht="20.25" customHeight="1">
      <c r="D264" s="308"/>
    </row>
    <row r="265" ht="27.0" customHeight="1">
      <c r="A265" s="52" t="str">
        <f>A255</f>
        <v>C1</v>
      </c>
      <c r="B265" s="52">
        <f>B255+1</f>
        <v>27</v>
      </c>
      <c r="D265" s="271" t="s">
        <v>80</v>
      </c>
      <c r="E265" s="272" t="s">
        <v>81</v>
      </c>
      <c r="F265" s="272" t="s">
        <v>82</v>
      </c>
      <c r="G265" s="273" t="s">
        <v>49</v>
      </c>
      <c r="H265" s="274"/>
    </row>
    <row r="266" ht="27.0" customHeight="1">
      <c r="A266" s="86"/>
      <c r="B266" s="86"/>
      <c r="D266" s="275" t="str">
        <f t="array" ref="D266">IFERROR(INDEX('計測入力シート（ここのみ編集可）'!$BN$17:$BN$116,MATCH(A265&amp;B265,'計測入力シート（ここのみ編集可）'!$BO$17:$BO$116,0)),"")</f>
        <v/>
      </c>
      <c r="E266" s="276" t="str">
        <f t="array" ref="E266">IFERROR(INDEX('計測入力シート（ここのみ編集可）'!$BP$17:$BP$116,MATCH(A265&amp;B265,'計測入力シート（ここのみ編集可）'!$BO$17:$BO$116,0)),"")</f>
        <v/>
      </c>
      <c r="F266" s="277" t="str">
        <f t="array" ref="F266">IFERROR(INDEX('計測入力シート（ここのみ編集可）'!$BR$17:$BR$116,MATCH(A265&amp;B265,'計測入力シート（ここのみ編集可）'!$BO$17:$BO$116,0)),"")</f>
        <v/>
      </c>
      <c r="G266" s="278" t="str">
        <f t="array" ref="G266">IFERROR(INDEX('計測入力シート（ここのみ編集可）'!$BL$17:$BL$116,MATCH(A265&amp;B265,'計測入力シート（ここのみ編集可）'!$BO$17:$BO$116,0)),"")</f>
        <v/>
      </c>
      <c r="H266" s="279"/>
    </row>
    <row r="267" ht="27.0" customHeight="1">
      <c r="D267" s="280" t="s">
        <v>2</v>
      </c>
      <c r="E267" s="281" t="str">
        <f t="array" ref="E267">IFERROR(INDEX('計測入力シート（ここのみ編集可）'!$C$17:$C$116,MATCH(A265&amp;B265,'計測入力シート（ここのみ編集可）'!$BO$17:$BO$116,0)),"")</f>
        <v/>
      </c>
      <c r="F267" s="282" t="s">
        <v>17</v>
      </c>
      <c r="G267" s="283" t="str">
        <f t="array" ref="G267">IFERROR(INDEX('計測入力シート（ここのみ編集可）'!$D$17:$D$116,MATCH(A265&amp;B265,'計測入力シート（ここのみ編集可）'!$BO$17:$BO$116,0)),"")</f>
        <v/>
      </c>
      <c r="H267" s="284"/>
    </row>
    <row r="268" ht="27.0" customHeight="1">
      <c r="D268" s="285" t="s">
        <v>1</v>
      </c>
      <c r="E268" s="286" t="str">
        <f t="array" ref="E268">IFERROR(INDEX('計測入力シート（ここのみ編集可）'!$B$17:$B$116,MATCH(A265&amp;B265,'計測入力シート（ここのみ編集可）'!$BO$17:$BO$116,0)),"")</f>
        <v/>
      </c>
      <c r="F268" s="287" t="s">
        <v>18</v>
      </c>
      <c r="G268" s="288" t="str">
        <f t="array" ref="G268">IFERROR(INDEX('計測入力シート（ここのみ編集可）'!$E$17:$E$116,MATCH(A265&amp;B265,'計測入力シート（ここのみ編集可）'!$BO$17:$BO$116,0)),"")</f>
        <v/>
      </c>
      <c r="H268" s="289"/>
    </row>
    <row r="269" ht="24.75" customHeight="1">
      <c r="D269" s="290" t="s">
        <v>92</v>
      </c>
      <c r="E269" s="291" t="str">
        <f t="array" ref="E269">IFERROR(INDEX(#REF!,MATCH(A265&amp;B265,'計測入力シート（ここのみ編集可）'!$BO$17:$BO$116,0)),"")</f>
        <v/>
      </c>
      <c r="H269" s="232"/>
    </row>
    <row r="270" ht="52.5" customHeight="1">
      <c r="D270" s="292" t="s">
        <v>100</v>
      </c>
      <c r="E270" s="293" t="str">
        <f t="array" ref="E270">IFERROR(INDEX(#REF!,MATCH(A265&amp;B265,'計測入力シート（ここのみ編集可）'!$BO$17:$BO$116,0)),"")</f>
        <v/>
      </c>
      <c r="F270" s="95"/>
      <c r="G270" s="95"/>
      <c r="H270" s="96"/>
    </row>
    <row r="271" ht="20.25" customHeight="1">
      <c r="D271" s="294" t="s">
        <v>39</v>
      </c>
      <c r="E271" s="295" t="str">
        <f t="array" ref="E271">IFERROR(INDEX('計測入力シート（ここのみ編集可）'!$AW$17:$AW$116,MATCH(A265&amp;B265,'計測入力シート（ここのみ編集可）'!$BO$17:$BO$116,0)),"")</f>
        <v/>
      </c>
      <c r="F271" s="296"/>
      <c r="G271" s="297" t="s">
        <v>110</v>
      </c>
      <c r="H271" s="298" t="str">
        <f t="array" ref="H271">IFERROR(INDEX('計測入力シート（ここのみ編集可）'!$AY$17:$AY$116,MATCH(A265&amp;B265,'計測入力シート（ここのみ編集可）'!$BO$17:$BO$116,0)),"")</f>
        <v/>
      </c>
    </row>
    <row r="272" ht="20.25" customHeight="1">
      <c r="D272" s="299" t="s">
        <v>42</v>
      </c>
      <c r="E272" s="300" t="str">
        <f t="array" ref="E272">IFERROR(INDEX('計測入力シート（ここのみ編集可）'!$AZ$17:$AZ$116,MATCH(A265&amp;B265,'計測入力シート（ここのみ編集可）'!$BO$17:$BO$116,0)),"")</f>
        <v/>
      </c>
      <c r="F272" s="116"/>
      <c r="G272" s="301" t="s">
        <v>111</v>
      </c>
      <c r="H272" s="302" t="str">
        <f t="array" ref="H272">IFERROR(INDEX('計測入力シート（ここのみ編集可）'!$BB$17:$BB$116,MATCH(A265&amp;B265,'計測入力シート（ここのみ編集可）'!$BO$17:$BO$116,0)),"")</f>
        <v/>
      </c>
    </row>
    <row r="273" ht="20.25" customHeight="1">
      <c r="D273" s="303" t="s">
        <v>112</v>
      </c>
      <c r="E273" s="304" t="str">
        <f t="array" ref="E273">IFERROR(INDEX('計測入力シート（ここのみ編集可）'!$BC$17:$BC$116,MATCH(A265&amp;B265,'計測入力シート（ここのみ編集可）'!$BO$17:$BO$116,0)),"")</f>
        <v/>
      </c>
      <c r="F273" s="305"/>
      <c r="G273" s="306" t="s">
        <v>25</v>
      </c>
      <c r="H273" s="307" t="str">
        <f t="array" ref="H273">IFERROR(INDEX('計測入力シート（ここのみ編集可）'!$BD$17:$BD$116,MATCH(A265&amp;B265,'計測入力シート（ここのみ編集可）'!$BO$17:$BO$116,0)),"")</f>
        <v/>
      </c>
    </row>
    <row r="274" ht="20.25" customHeight="1">
      <c r="D274" s="308"/>
    </row>
    <row r="275" ht="27.0" customHeight="1">
      <c r="A275" s="52" t="str">
        <f>A265</f>
        <v>C1</v>
      </c>
      <c r="B275" s="52">
        <f>B265+1</f>
        <v>28</v>
      </c>
      <c r="D275" s="271" t="s">
        <v>80</v>
      </c>
      <c r="E275" s="272" t="s">
        <v>81</v>
      </c>
      <c r="F275" s="272" t="s">
        <v>82</v>
      </c>
      <c r="G275" s="273" t="s">
        <v>49</v>
      </c>
      <c r="H275" s="274"/>
    </row>
    <row r="276" ht="27.0" customHeight="1">
      <c r="A276" s="86"/>
      <c r="B276" s="86"/>
      <c r="D276" s="275" t="str">
        <f t="array" ref="D276">IFERROR(INDEX('計測入力シート（ここのみ編集可）'!$BN$17:$BN$116,MATCH(A275&amp;B275,'計測入力シート（ここのみ編集可）'!$BO$17:$BO$116,0)),"")</f>
        <v/>
      </c>
      <c r="E276" s="276" t="str">
        <f t="array" ref="E276">IFERROR(INDEX('計測入力シート（ここのみ編集可）'!$BP$17:$BP$116,MATCH(A275&amp;B275,'計測入力シート（ここのみ編集可）'!$BO$17:$BO$116,0)),"")</f>
        <v/>
      </c>
      <c r="F276" s="277" t="str">
        <f t="array" ref="F276">IFERROR(INDEX('計測入力シート（ここのみ編集可）'!$BR$17:$BR$116,MATCH(A275&amp;B275,'計測入力シート（ここのみ編集可）'!$BO$17:$BO$116,0)),"")</f>
        <v/>
      </c>
      <c r="G276" s="278" t="str">
        <f t="array" ref="G276">IFERROR(INDEX('計測入力シート（ここのみ編集可）'!$BL$17:$BL$116,MATCH(A275&amp;B275,'計測入力シート（ここのみ編集可）'!$BO$17:$BO$116,0)),"")</f>
        <v/>
      </c>
      <c r="H276" s="279"/>
    </row>
    <row r="277" ht="27.0" customHeight="1">
      <c r="D277" s="280" t="s">
        <v>2</v>
      </c>
      <c r="E277" s="281" t="str">
        <f t="array" ref="E277">IFERROR(INDEX('計測入力シート（ここのみ編集可）'!$C$17:$C$116,MATCH(A275&amp;B275,'計測入力シート（ここのみ編集可）'!$BO$17:$BO$116,0)),"")</f>
        <v/>
      </c>
      <c r="F277" s="282" t="s">
        <v>17</v>
      </c>
      <c r="G277" s="283" t="str">
        <f t="array" ref="G277">IFERROR(INDEX('計測入力シート（ここのみ編集可）'!$D$17:$D$116,MATCH(A275&amp;B275,'計測入力シート（ここのみ編集可）'!$BO$17:$BO$116,0)),"")</f>
        <v/>
      </c>
      <c r="H277" s="284"/>
    </row>
    <row r="278" ht="27.0" customHeight="1">
      <c r="D278" s="285" t="s">
        <v>1</v>
      </c>
      <c r="E278" s="286" t="str">
        <f t="array" ref="E278">IFERROR(INDEX('計測入力シート（ここのみ編集可）'!$B$17:$B$116,MATCH(A275&amp;B275,'計測入力シート（ここのみ編集可）'!$BO$17:$BO$116,0)),"")</f>
        <v/>
      </c>
      <c r="F278" s="287" t="s">
        <v>18</v>
      </c>
      <c r="G278" s="288" t="str">
        <f t="array" ref="G278">IFERROR(INDEX('計測入力シート（ここのみ編集可）'!$E$17:$E$116,MATCH(A275&amp;B275,'計測入力シート（ここのみ編集可）'!$BO$17:$BO$116,0)),"")</f>
        <v/>
      </c>
      <c r="H278" s="289"/>
    </row>
    <row r="279" ht="24.75" customHeight="1">
      <c r="D279" s="290" t="s">
        <v>92</v>
      </c>
      <c r="E279" s="291" t="str">
        <f t="array" ref="E279">IFERROR(INDEX(#REF!,MATCH(A275&amp;B275,'計測入力シート（ここのみ編集可）'!$BO$17:$BO$116,0)),"")</f>
        <v/>
      </c>
      <c r="H279" s="232"/>
    </row>
    <row r="280" ht="52.5" customHeight="1">
      <c r="D280" s="292" t="s">
        <v>100</v>
      </c>
      <c r="E280" s="293" t="str">
        <f t="array" ref="E280">IFERROR(INDEX(#REF!,MATCH(A275&amp;B275,'計測入力シート（ここのみ編集可）'!$BO$17:$BO$116,0)),"")</f>
        <v/>
      </c>
      <c r="F280" s="95"/>
      <c r="G280" s="95"/>
      <c r="H280" s="96"/>
    </row>
    <row r="281" ht="20.25" customHeight="1">
      <c r="D281" s="294" t="s">
        <v>39</v>
      </c>
      <c r="E281" s="295" t="str">
        <f t="array" ref="E281">IFERROR(INDEX('計測入力シート（ここのみ編集可）'!$AW$17:$AW$116,MATCH(A275&amp;B275,'計測入力シート（ここのみ編集可）'!$BO$17:$BO$116,0)),"")</f>
        <v/>
      </c>
      <c r="F281" s="296"/>
      <c r="G281" s="297" t="s">
        <v>110</v>
      </c>
      <c r="H281" s="298" t="str">
        <f t="array" ref="H281">IFERROR(INDEX('計測入力シート（ここのみ編集可）'!$AY$17:$AY$116,MATCH(A275&amp;B275,'計測入力シート（ここのみ編集可）'!$BO$17:$BO$116,0)),"")</f>
        <v/>
      </c>
    </row>
    <row r="282" ht="20.25" customHeight="1">
      <c r="D282" s="299" t="s">
        <v>42</v>
      </c>
      <c r="E282" s="300" t="str">
        <f t="array" ref="E282">IFERROR(INDEX('計測入力シート（ここのみ編集可）'!$AZ$17:$AZ$116,MATCH(A275&amp;B275,'計測入力シート（ここのみ編集可）'!$BO$17:$BO$116,0)),"")</f>
        <v/>
      </c>
      <c r="F282" s="116"/>
      <c r="G282" s="301" t="s">
        <v>111</v>
      </c>
      <c r="H282" s="302" t="str">
        <f t="array" ref="H282">IFERROR(INDEX('計測入力シート（ここのみ編集可）'!$BB$17:$BB$116,MATCH(A275&amp;B275,'計測入力シート（ここのみ編集可）'!$BO$17:$BO$116,0)),"")</f>
        <v/>
      </c>
    </row>
    <row r="283" ht="20.25" customHeight="1">
      <c r="D283" s="303" t="s">
        <v>112</v>
      </c>
      <c r="E283" s="304" t="str">
        <f t="array" ref="E283">IFERROR(INDEX('計測入力シート（ここのみ編集可）'!$BC$17:$BC$116,MATCH(A275&amp;B275,'計測入力シート（ここのみ編集可）'!$BO$17:$BO$116,0)),"")</f>
        <v/>
      </c>
      <c r="F283" s="305"/>
      <c r="G283" s="306" t="s">
        <v>25</v>
      </c>
      <c r="H283" s="307" t="str">
        <f t="array" ref="H283">IFERROR(INDEX('計測入力シート（ここのみ編集可）'!$BD$17:$BD$116,MATCH(A275&amp;B275,'計測入力シート（ここのみ編集可）'!$BO$17:$BO$116,0)),"")</f>
        <v/>
      </c>
    </row>
    <row r="284" ht="20.25" customHeight="1">
      <c r="D284" s="308"/>
    </row>
    <row r="285" ht="27.0" customHeight="1">
      <c r="A285" s="52" t="str">
        <f>A275</f>
        <v>C1</v>
      </c>
      <c r="B285" s="52">
        <f>B275+1</f>
        <v>29</v>
      </c>
      <c r="D285" s="271" t="s">
        <v>80</v>
      </c>
      <c r="E285" s="272" t="s">
        <v>81</v>
      </c>
      <c r="F285" s="272" t="s">
        <v>82</v>
      </c>
      <c r="G285" s="273" t="s">
        <v>49</v>
      </c>
      <c r="H285" s="274"/>
    </row>
    <row r="286" ht="27.0" customHeight="1">
      <c r="A286" s="86"/>
      <c r="B286" s="86"/>
      <c r="D286" s="275" t="str">
        <f t="array" ref="D286">IFERROR(INDEX('計測入力シート（ここのみ編集可）'!$BN$17:$BN$116,MATCH(A285&amp;B285,'計測入力シート（ここのみ編集可）'!$BO$17:$BO$116,0)),"")</f>
        <v/>
      </c>
      <c r="E286" s="276" t="str">
        <f t="array" ref="E286">IFERROR(INDEX('計測入力シート（ここのみ編集可）'!$BP$17:$BP$116,MATCH(A285&amp;B285,'計測入力シート（ここのみ編集可）'!$BO$17:$BO$116,0)),"")</f>
        <v/>
      </c>
      <c r="F286" s="277" t="str">
        <f t="array" ref="F286">IFERROR(INDEX('計測入力シート（ここのみ編集可）'!$BR$17:$BR$116,MATCH(A285&amp;B285,'計測入力シート（ここのみ編集可）'!$BO$17:$BO$116,0)),"")</f>
        <v/>
      </c>
      <c r="G286" s="278" t="str">
        <f t="array" ref="G286">IFERROR(INDEX('計測入力シート（ここのみ編集可）'!$BL$17:$BL$116,MATCH(A285&amp;B285,'計測入力シート（ここのみ編集可）'!$BO$17:$BO$116,0)),"")</f>
        <v/>
      </c>
      <c r="H286" s="279"/>
    </row>
    <row r="287" ht="27.0" customHeight="1">
      <c r="D287" s="280" t="s">
        <v>2</v>
      </c>
      <c r="E287" s="281" t="str">
        <f t="array" ref="E287">IFERROR(INDEX('計測入力シート（ここのみ編集可）'!$C$17:$C$116,MATCH(A285&amp;B285,'計測入力シート（ここのみ編集可）'!$BO$17:$BO$116,0)),"")</f>
        <v/>
      </c>
      <c r="F287" s="282" t="s">
        <v>17</v>
      </c>
      <c r="G287" s="283" t="str">
        <f t="array" ref="G287">IFERROR(INDEX('計測入力シート（ここのみ編集可）'!$D$17:$D$116,MATCH(A285&amp;B285,'計測入力シート（ここのみ編集可）'!$BO$17:$BO$116,0)),"")</f>
        <v/>
      </c>
      <c r="H287" s="284"/>
    </row>
    <row r="288" ht="27.0" customHeight="1">
      <c r="D288" s="285" t="s">
        <v>1</v>
      </c>
      <c r="E288" s="286" t="str">
        <f t="array" ref="E288">IFERROR(INDEX('計測入力シート（ここのみ編集可）'!$B$17:$B$116,MATCH(A285&amp;B285,'計測入力シート（ここのみ編集可）'!$BO$17:$BO$116,0)),"")</f>
        <v/>
      </c>
      <c r="F288" s="287" t="s">
        <v>18</v>
      </c>
      <c r="G288" s="288" t="str">
        <f t="array" ref="G288">IFERROR(INDEX('計測入力シート（ここのみ編集可）'!$E$17:$E$116,MATCH(A285&amp;B285,'計測入力シート（ここのみ編集可）'!$BO$17:$BO$116,0)),"")</f>
        <v/>
      </c>
      <c r="H288" s="289"/>
    </row>
    <row r="289" ht="24.75" customHeight="1">
      <c r="D289" s="290" t="s">
        <v>92</v>
      </c>
      <c r="E289" s="291" t="str">
        <f t="array" ref="E289">IFERROR(INDEX(#REF!,MATCH(A285&amp;B285,'計測入力シート（ここのみ編集可）'!$BO$17:$BO$116,0)),"")</f>
        <v/>
      </c>
      <c r="H289" s="232"/>
    </row>
    <row r="290" ht="52.5" customHeight="1">
      <c r="D290" s="292" t="s">
        <v>100</v>
      </c>
      <c r="E290" s="293" t="str">
        <f t="array" ref="E290">IFERROR(INDEX(#REF!,MATCH(A285&amp;B285,'計測入力シート（ここのみ編集可）'!$BO$17:$BO$116,0)),"")</f>
        <v/>
      </c>
      <c r="F290" s="95"/>
      <c r="G290" s="95"/>
      <c r="H290" s="96"/>
    </row>
    <row r="291" ht="20.25" customHeight="1">
      <c r="D291" s="294" t="s">
        <v>39</v>
      </c>
      <c r="E291" s="295" t="str">
        <f t="array" ref="E291">IFERROR(INDEX('計測入力シート（ここのみ編集可）'!$AW$17:$AW$116,MATCH(A285&amp;B285,'計測入力シート（ここのみ編集可）'!$BO$17:$BO$116,0)),"")</f>
        <v/>
      </c>
      <c r="F291" s="296"/>
      <c r="G291" s="297" t="s">
        <v>110</v>
      </c>
      <c r="H291" s="298" t="str">
        <f t="array" ref="H291">IFERROR(INDEX('計測入力シート（ここのみ編集可）'!$AY$17:$AY$116,MATCH(A285&amp;B285,'計測入力シート（ここのみ編集可）'!$BO$17:$BO$116,0)),"")</f>
        <v/>
      </c>
    </row>
    <row r="292" ht="20.25" customHeight="1">
      <c r="D292" s="299" t="s">
        <v>42</v>
      </c>
      <c r="E292" s="300" t="str">
        <f t="array" ref="E292">IFERROR(INDEX('計測入力シート（ここのみ編集可）'!$AZ$17:$AZ$116,MATCH(A285&amp;B285,'計測入力シート（ここのみ編集可）'!$BO$17:$BO$116,0)),"")</f>
        <v/>
      </c>
      <c r="F292" s="116"/>
      <c r="G292" s="301" t="s">
        <v>111</v>
      </c>
      <c r="H292" s="302" t="str">
        <f t="array" ref="H292">IFERROR(INDEX('計測入力シート（ここのみ編集可）'!$BB$17:$BB$116,MATCH(A285&amp;B285,'計測入力シート（ここのみ編集可）'!$BO$17:$BO$116,0)),"")</f>
        <v/>
      </c>
    </row>
    <row r="293" ht="20.25" customHeight="1">
      <c r="D293" s="303" t="s">
        <v>112</v>
      </c>
      <c r="E293" s="304" t="str">
        <f t="array" ref="E293">IFERROR(INDEX('計測入力シート（ここのみ編集可）'!$BC$17:$BC$116,MATCH(A285&amp;B285,'計測入力シート（ここのみ編集可）'!$BO$17:$BO$116,0)),"")</f>
        <v/>
      </c>
      <c r="F293" s="305"/>
      <c r="G293" s="306" t="s">
        <v>25</v>
      </c>
      <c r="H293" s="307" t="str">
        <f t="array" ref="H293">IFERROR(INDEX('計測入力シート（ここのみ編集可）'!$BD$17:$BD$116,MATCH(A285&amp;B285,'計測入力シート（ここのみ編集可）'!$BO$17:$BO$116,0)),"")</f>
        <v/>
      </c>
    </row>
    <row r="294" ht="20.25" customHeight="1">
      <c r="D294" s="308"/>
    </row>
    <row r="295" ht="27.0" customHeight="1">
      <c r="A295" s="52" t="str">
        <f>A285</f>
        <v>C1</v>
      </c>
      <c r="B295" s="52">
        <f>B285+1</f>
        <v>30</v>
      </c>
      <c r="D295" s="271" t="s">
        <v>80</v>
      </c>
      <c r="E295" s="272" t="s">
        <v>81</v>
      </c>
      <c r="F295" s="272" t="s">
        <v>82</v>
      </c>
      <c r="G295" s="273" t="s">
        <v>49</v>
      </c>
      <c r="H295" s="274"/>
    </row>
    <row r="296" ht="27.0" customHeight="1">
      <c r="A296" s="86"/>
      <c r="B296" s="86"/>
      <c r="D296" s="275" t="str">
        <f t="array" ref="D296">IFERROR(INDEX('計測入力シート（ここのみ編集可）'!$BN$17:$BN$116,MATCH(A295&amp;B295,'計測入力シート（ここのみ編集可）'!$BO$17:$BO$116,0)),"")</f>
        <v/>
      </c>
      <c r="E296" s="276" t="str">
        <f t="array" ref="E296">IFERROR(INDEX('計測入力シート（ここのみ編集可）'!$BP$17:$BP$116,MATCH(A295&amp;B295,'計測入力シート（ここのみ編集可）'!$BO$17:$BO$116,0)),"")</f>
        <v/>
      </c>
      <c r="F296" s="277" t="str">
        <f t="array" ref="F296">IFERROR(INDEX('計測入力シート（ここのみ編集可）'!$BR$17:$BR$116,MATCH(A295&amp;B295,'計測入力シート（ここのみ編集可）'!$BO$17:$BO$116,0)),"")</f>
        <v/>
      </c>
      <c r="G296" s="278" t="str">
        <f t="array" ref="G296">IFERROR(INDEX('計測入力シート（ここのみ編集可）'!$BL$17:$BL$116,MATCH(A295&amp;B295,'計測入力シート（ここのみ編集可）'!$BO$17:$BO$116,0)),"")</f>
        <v/>
      </c>
      <c r="H296" s="279"/>
    </row>
    <row r="297" ht="27.0" customHeight="1">
      <c r="D297" s="280" t="s">
        <v>2</v>
      </c>
      <c r="E297" s="281" t="str">
        <f t="array" ref="E297">IFERROR(INDEX('計測入力シート（ここのみ編集可）'!$C$17:$C$116,MATCH(A295&amp;B295,'計測入力シート（ここのみ編集可）'!$BO$17:$BO$116,0)),"")</f>
        <v/>
      </c>
      <c r="F297" s="282" t="s">
        <v>17</v>
      </c>
      <c r="G297" s="283" t="str">
        <f t="array" ref="G297">IFERROR(INDEX('計測入力シート（ここのみ編集可）'!$D$17:$D$116,MATCH(A295&amp;B295,'計測入力シート（ここのみ編集可）'!$BO$17:$BO$116,0)),"")</f>
        <v/>
      </c>
      <c r="H297" s="284"/>
    </row>
    <row r="298" ht="27.0" customHeight="1">
      <c r="D298" s="285" t="s">
        <v>1</v>
      </c>
      <c r="E298" s="286" t="str">
        <f t="array" ref="E298">IFERROR(INDEX('計測入力シート（ここのみ編集可）'!$B$17:$B$116,MATCH(A295&amp;B295,'計測入力シート（ここのみ編集可）'!$BO$17:$BO$116,0)),"")</f>
        <v/>
      </c>
      <c r="F298" s="287" t="s">
        <v>18</v>
      </c>
      <c r="G298" s="288" t="str">
        <f t="array" ref="G298">IFERROR(INDEX('計測入力シート（ここのみ編集可）'!$E$17:$E$116,MATCH(A295&amp;B295,'計測入力シート（ここのみ編集可）'!$BO$17:$BO$116,0)),"")</f>
        <v/>
      </c>
      <c r="H298" s="289"/>
    </row>
    <row r="299" ht="24.75" customHeight="1">
      <c r="D299" s="290" t="s">
        <v>92</v>
      </c>
      <c r="E299" s="291" t="str">
        <f t="array" ref="E299">IFERROR(INDEX(#REF!,MATCH(A295&amp;B295,'計測入力シート（ここのみ編集可）'!$BO$17:$BO$116,0)),"")</f>
        <v/>
      </c>
      <c r="H299" s="232"/>
    </row>
    <row r="300" ht="52.5" customHeight="1">
      <c r="D300" s="292" t="s">
        <v>100</v>
      </c>
      <c r="E300" s="293" t="str">
        <f t="array" ref="E300">IFERROR(INDEX(#REF!,MATCH(A295&amp;B295,'計測入力シート（ここのみ編集可）'!$BO$17:$BO$116,0)),"")</f>
        <v/>
      </c>
      <c r="F300" s="95"/>
      <c r="G300" s="95"/>
      <c r="H300" s="96"/>
    </row>
    <row r="301" ht="20.25" customHeight="1">
      <c r="D301" s="294" t="s">
        <v>39</v>
      </c>
      <c r="E301" s="295" t="str">
        <f t="array" ref="E301">IFERROR(INDEX('計測入力シート（ここのみ編集可）'!$AW$17:$AW$116,MATCH(A295&amp;B295,'計測入力シート（ここのみ編集可）'!$BO$17:$BO$116,0)),"")</f>
        <v/>
      </c>
      <c r="F301" s="296"/>
      <c r="G301" s="297" t="s">
        <v>110</v>
      </c>
      <c r="H301" s="298" t="str">
        <f t="array" ref="H301">IFERROR(INDEX('計測入力シート（ここのみ編集可）'!$AY$17:$AY$116,MATCH(A295&amp;B295,'計測入力シート（ここのみ編集可）'!$BO$17:$BO$116,0)),"")</f>
        <v/>
      </c>
    </row>
    <row r="302" ht="20.25" customHeight="1">
      <c r="D302" s="299" t="s">
        <v>42</v>
      </c>
      <c r="E302" s="300" t="str">
        <f t="array" ref="E302">IFERROR(INDEX('計測入力シート（ここのみ編集可）'!$AZ$17:$AZ$116,MATCH(A295&amp;B295,'計測入力シート（ここのみ編集可）'!$BO$17:$BO$116,0)),"")</f>
        <v/>
      </c>
      <c r="F302" s="116"/>
      <c r="G302" s="301" t="s">
        <v>111</v>
      </c>
      <c r="H302" s="302" t="str">
        <f t="array" ref="H302">IFERROR(INDEX('計測入力シート（ここのみ編集可）'!$BB$17:$BB$116,MATCH(A295&amp;B295,'計測入力シート（ここのみ編集可）'!$BO$17:$BO$116,0)),"")</f>
        <v/>
      </c>
    </row>
    <row r="303" ht="20.25" customHeight="1">
      <c r="D303" s="303" t="s">
        <v>112</v>
      </c>
      <c r="E303" s="304" t="str">
        <f t="array" ref="E303">IFERROR(INDEX('計測入力シート（ここのみ編集可）'!$BC$17:$BC$116,MATCH(A295&amp;B295,'計測入力シート（ここのみ編集可）'!$BO$17:$BO$116,0)),"")</f>
        <v/>
      </c>
      <c r="F303" s="305"/>
      <c r="G303" s="306" t="s">
        <v>25</v>
      </c>
      <c r="H303" s="307" t="str">
        <f t="array" ref="H303">IFERROR(INDEX('計測入力シート（ここのみ編集可）'!$BD$17:$BD$116,MATCH(A295&amp;B295,'計測入力シート（ここのみ編集可）'!$BO$17:$BO$116,0)),"")</f>
        <v/>
      </c>
    </row>
    <row r="304">
      <c r="D304" s="309"/>
      <c r="E304" s="309"/>
      <c r="F304" s="309"/>
      <c r="G304" s="309"/>
      <c r="H304" s="309"/>
    </row>
    <row r="305">
      <c r="D305" s="309"/>
      <c r="E305" s="309"/>
      <c r="F305" s="309"/>
      <c r="G305" s="309"/>
      <c r="H305" s="309"/>
    </row>
    <row r="306">
      <c r="D306" s="309"/>
      <c r="E306" s="309"/>
      <c r="F306" s="309"/>
      <c r="G306" s="309"/>
      <c r="H306" s="309"/>
    </row>
    <row r="307">
      <c r="D307" s="309"/>
      <c r="E307" s="309"/>
      <c r="F307" s="309"/>
      <c r="G307" s="309"/>
      <c r="H307" s="309"/>
    </row>
    <row r="308">
      <c r="D308" s="309"/>
      <c r="E308" s="309"/>
      <c r="F308" s="309"/>
      <c r="G308" s="309"/>
      <c r="H308" s="309"/>
    </row>
    <row r="309">
      <c r="D309" s="309"/>
      <c r="E309" s="309"/>
      <c r="F309" s="309"/>
      <c r="G309" s="309"/>
      <c r="H309" s="309"/>
    </row>
    <row r="310">
      <c r="D310" s="309"/>
      <c r="E310" s="309"/>
      <c r="F310" s="309"/>
      <c r="G310" s="309"/>
      <c r="H310" s="309"/>
    </row>
    <row r="311">
      <c r="D311" s="309"/>
      <c r="E311" s="309"/>
      <c r="F311" s="309"/>
      <c r="G311" s="309"/>
      <c r="H311" s="309"/>
    </row>
    <row r="312">
      <c r="D312" s="309"/>
      <c r="E312" s="309"/>
      <c r="F312" s="309"/>
      <c r="G312" s="309"/>
      <c r="H312" s="309"/>
    </row>
    <row r="313">
      <c r="D313" s="309"/>
      <c r="E313" s="309"/>
      <c r="F313" s="309"/>
      <c r="G313" s="309"/>
      <c r="H313" s="309"/>
    </row>
    <row r="314">
      <c r="D314" s="309"/>
      <c r="E314" s="309"/>
      <c r="F314" s="309"/>
      <c r="G314" s="309"/>
      <c r="H314" s="309"/>
    </row>
    <row r="315">
      <c r="D315" s="309"/>
      <c r="E315" s="309"/>
      <c r="F315" s="309"/>
      <c r="G315" s="309"/>
      <c r="H315" s="309"/>
    </row>
    <row r="316">
      <c r="D316" s="309"/>
      <c r="E316" s="309"/>
      <c r="F316" s="309"/>
      <c r="G316" s="309"/>
      <c r="H316" s="309"/>
    </row>
    <row r="317">
      <c r="D317" s="309"/>
      <c r="E317" s="309"/>
      <c r="F317" s="309"/>
      <c r="G317" s="309"/>
      <c r="H317" s="309"/>
    </row>
    <row r="318">
      <c r="D318" s="309"/>
      <c r="E318" s="309"/>
      <c r="F318" s="309"/>
      <c r="G318" s="309"/>
      <c r="H318" s="309"/>
    </row>
    <row r="319">
      <c r="D319" s="309"/>
      <c r="E319" s="309"/>
      <c r="F319" s="309"/>
      <c r="G319" s="309"/>
      <c r="H319" s="309"/>
    </row>
    <row r="320">
      <c r="D320" s="309"/>
      <c r="E320" s="309"/>
      <c r="F320" s="309"/>
      <c r="G320" s="309"/>
      <c r="H320" s="309"/>
    </row>
    <row r="321">
      <c r="D321" s="309"/>
      <c r="E321" s="309"/>
      <c r="F321" s="309"/>
      <c r="G321" s="309"/>
      <c r="H321" s="309"/>
      <c r="I321" s="309"/>
    </row>
    <row r="322">
      <c r="D322" s="309"/>
      <c r="E322" s="309"/>
      <c r="F322" s="309"/>
      <c r="G322" s="309"/>
      <c r="H322" s="309"/>
      <c r="I322" s="309"/>
    </row>
    <row r="323">
      <c r="D323" s="309"/>
      <c r="E323" s="309"/>
      <c r="F323" s="309"/>
      <c r="G323" s="309"/>
      <c r="H323" s="309"/>
      <c r="I323" s="309"/>
    </row>
    <row r="324">
      <c r="D324" s="309"/>
      <c r="E324" s="309"/>
      <c r="F324" s="309"/>
      <c r="G324" s="309"/>
      <c r="H324" s="309"/>
      <c r="I324" s="309"/>
    </row>
    <row r="325">
      <c r="D325" s="309"/>
      <c r="E325" s="309"/>
      <c r="F325" s="309"/>
      <c r="G325" s="309"/>
      <c r="H325" s="309"/>
      <c r="I325" s="309"/>
    </row>
    <row r="326">
      <c r="D326" s="309"/>
      <c r="E326" s="309"/>
      <c r="F326" s="309"/>
      <c r="G326" s="309"/>
      <c r="H326" s="309"/>
      <c r="I326" s="309"/>
    </row>
    <row r="327">
      <c r="D327" s="309"/>
      <c r="E327" s="309"/>
      <c r="F327" s="309"/>
      <c r="G327" s="309"/>
      <c r="H327" s="309"/>
      <c r="I327" s="309"/>
    </row>
    <row r="328">
      <c r="D328" s="309"/>
      <c r="E328" s="309"/>
      <c r="F328" s="309"/>
      <c r="G328" s="309"/>
      <c r="H328" s="309"/>
      <c r="I328" s="309"/>
    </row>
    <row r="329">
      <c r="D329" s="309"/>
      <c r="E329" s="309"/>
      <c r="F329" s="309"/>
      <c r="G329" s="309"/>
      <c r="H329" s="309"/>
      <c r="I329" s="309"/>
    </row>
    <row r="330">
      <c r="D330" s="309"/>
      <c r="E330" s="309"/>
      <c r="F330" s="309"/>
      <c r="G330" s="309"/>
      <c r="H330" s="309"/>
      <c r="I330" s="309"/>
    </row>
    <row r="331">
      <c r="D331" s="309"/>
      <c r="E331" s="309"/>
      <c r="F331" s="309"/>
      <c r="G331" s="309"/>
      <c r="H331" s="309"/>
      <c r="I331" s="309"/>
    </row>
    <row r="332">
      <c r="D332" s="309"/>
      <c r="E332" s="309"/>
      <c r="F332" s="309"/>
      <c r="G332" s="309"/>
      <c r="H332" s="309"/>
      <c r="I332" s="309"/>
    </row>
    <row r="333">
      <c r="D333" s="309"/>
      <c r="E333" s="309"/>
      <c r="F333" s="309"/>
      <c r="G333" s="309"/>
      <c r="H333" s="309"/>
      <c r="I333" s="309"/>
    </row>
    <row r="334">
      <c r="D334" s="309"/>
      <c r="E334" s="309"/>
      <c r="F334" s="309"/>
      <c r="G334" s="309"/>
      <c r="H334" s="309"/>
      <c r="I334" s="309"/>
    </row>
    <row r="335">
      <c r="D335" s="309"/>
      <c r="E335" s="309"/>
      <c r="F335" s="309"/>
      <c r="G335" s="309"/>
      <c r="H335" s="309"/>
      <c r="I335" s="309"/>
    </row>
    <row r="336">
      <c r="D336" s="309"/>
      <c r="E336" s="309"/>
      <c r="F336" s="309"/>
      <c r="G336" s="309"/>
      <c r="H336" s="309"/>
      <c r="I336" s="309"/>
    </row>
    <row r="337">
      <c r="D337" s="309"/>
      <c r="E337" s="309"/>
      <c r="F337" s="309"/>
      <c r="G337" s="309"/>
      <c r="H337" s="309"/>
      <c r="I337" s="309"/>
    </row>
    <row r="338">
      <c r="D338" s="309"/>
      <c r="E338" s="309"/>
      <c r="F338" s="309"/>
      <c r="G338" s="309"/>
      <c r="H338" s="309"/>
      <c r="I338" s="309"/>
    </row>
    <row r="339">
      <c r="D339" s="309"/>
      <c r="E339" s="309"/>
      <c r="F339" s="309"/>
      <c r="G339" s="309"/>
      <c r="H339" s="309"/>
      <c r="I339" s="309"/>
    </row>
    <row r="340">
      <c r="D340" s="309"/>
      <c r="E340" s="309"/>
      <c r="F340" s="309"/>
      <c r="G340" s="309"/>
      <c r="H340" s="309"/>
      <c r="I340" s="309"/>
    </row>
    <row r="341">
      <c r="D341" s="309"/>
      <c r="E341" s="309"/>
      <c r="F341" s="309"/>
      <c r="G341" s="309"/>
      <c r="H341" s="309"/>
      <c r="I341" s="309"/>
    </row>
    <row r="342">
      <c r="D342" s="309"/>
      <c r="E342" s="309"/>
      <c r="F342" s="309"/>
      <c r="G342" s="309"/>
      <c r="H342" s="309"/>
      <c r="I342" s="309"/>
    </row>
    <row r="343">
      <c r="D343" s="309"/>
      <c r="E343" s="309"/>
      <c r="F343" s="309"/>
      <c r="G343" s="309"/>
      <c r="H343" s="309"/>
      <c r="I343" s="309"/>
    </row>
    <row r="344">
      <c r="D344" s="309"/>
      <c r="E344" s="309"/>
      <c r="F344" s="309"/>
      <c r="G344" s="309"/>
      <c r="H344" s="309"/>
      <c r="I344" s="309"/>
    </row>
    <row r="345">
      <c r="D345" s="309"/>
      <c r="E345" s="309"/>
      <c r="F345" s="309"/>
      <c r="G345" s="309"/>
      <c r="H345" s="309"/>
      <c r="I345" s="309"/>
    </row>
    <row r="346">
      <c r="D346" s="309"/>
      <c r="E346" s="309"/>
      <c r="F346" s="309"/>
      <c r="G346" s="309"/>
      <c r="H346" s="309"/>
      <c r="I346" s="309"/>
    </row>
    <row r="347">
      <c r="D347" s="309"/>
      <c r="E347" s="309"/>
      <c r="F347" s="309"/>
      <c r="G347" s="309"/>
      <c r="H347" s="309"/>
      <c r="I347" s="309"/>
    </row>
    <row r="348">
      <c r="D348" s="309"/>
      <c r="E348" s="309"/>
      <c r="F348" s="309"/>
      <c r="G348" s="309"/>
      <c r="H348" s="309"/>
      <c r="I348" s="309"/>
    </row>
    <row r="349">
      <c r="D349" s="309"/>
      <c r="E349" s="309"/>
      <c r="F349" s="309"/>
      <c r="G349" s="309"/>
      <c r="H349" s="309"/>
      <c r="I349" s="309"/>
    </row>
    <row r="350">
      <c r="D350" s="309"/>
      <c r="E350" s="309"/>
      <c r="F350" s="309"/>
      <c r="G350" s="309"/>
      <c r="H350" s="309"/>
      <c r="I350" s="309"/>
    </row>
    <row r="351">
      <c r="D351" s="309"/>
      <c r="E351" s="309"/>
      <c r="F351" s="309"/>
      <c r="G351" s="309"/>
      <c r="H351" s="309"/>
      <c r="I351" s="309"/>
    </row>
    <row r="352">
      <c r="D352" s="309"/>
      <c r="E352" s="309"/>
      <c r="F352" s="309"/>
      <c r="G352" s="309"/>
      <c r="H352" s="309"/>
      <c r="I352" s="309"/>
    </row>
    <row r="353">
      <c r="D353" s="309"/>
      <c r="E353" s="309"/>
      <c r="F353" s="309"/>
      <c r="G353" s="309"/>
      <c r="H353" s="309"/>
      <c r="I353" s="309"/>
    </row>
    <row r="354">
      <c r="D354" s="309"/>
      <c r="E354" s="309"/>
      <c r="F354" s="309"/>
      <c r="G354" s="309"/>
      <c r="H354" s="309"/>
      <c r="I354" s="309"/>
    </row>
    <row r="355">
      <c r="D355" s="309"/>
      <c r="E355" s="309"/>
      <c r="F355" s="309"/>
      <c r="G355" s="309"/>
      <c r="H355" s="309"/>
      <c r="I355" s="309"/>
    </row>
    <row r="356">
      <c r="D356" s="309"/>
      <c r="E356" s="309"/>
      <c r="F356" s="309"/>
      <c r="G356" s="309"/>
      <c r="H356" s="309"/>
      <c r="I356" s="309"/>
    </row>
    <row r="357">
      <c r="D357" s="309"/>
      <c r="E357" s="309"/>
      <c r="F357" s="309"/>
      <c r="G357" s="309"/>
      <c r="H357" s="309"/>
      <c r="I357" s="309"/>
    </row>
    <row r="358">
      <c r="D358" s="309"/>
      <c r="E358" s="309"/>
      <c r="F358" s="309"/>
      <c r="G358" s="309"/>
      <c r="H358" s="309"/>
      <c r="I358" s="309"/>
    </row>
    <row r="359">
      <c r="D359" s="309"/>
      <c r="E359" s="309"/>
      <c r="F359" s="309"/>
      <c r="G359" s="309"/>
      <c r="H359" s="309"/>
      <c r="I359" s="309"/>
    </row>
    <row r="360">
      <c r="D360" s="309"/>
      <c r="E360" s="309"/>
      <c r="F360" s="309"/>
      <c r="G360" s="309"/>
      <c r="H360" s="309"/>
      <c r="I360" s="309"/>
    </row>
    <row r="361">
      <c r="D361" s="309"/>
      <c r="E361" s="309"/>
      <c r="F361" s="309"/>
      <c r="G361" s="309"/>
      <c r="H361" s="309"/>
      <c r="I361" s="309"/>
    </row>
    <row r="362">
      <c r="D362" s="309"/>
      <c r="E362" s="309"/>
      <c r="F362" s="309"/>
      <c r="G362" s="309"/>
      <c r="H362" s="309"/>
      <c r="I362" s="309"/>
    </row>
    <row r="363">
      <c r="D363" s="309"/>
      <c r="E363" s="309"/>
      <c r="F363" s="309"/>
      <c r="G363" s="309"/>
      <c r="H363" s="309"/>
      <c r="I363" s="309"/>
    </row>
    <row r="364">
      <c r="D364" s="309"/>
      <c r="E364" s="309"/>
      <c r="F364" s="309"/>
      <c r="G364" s="309"/>
      <c r="H364" s="309"/>
      <c r="I364" s="309"/>
    </row>
    <row r="365">
      <c r="D365" s="309"/>
      <c r="E365" s="309"/>
      <c r="F365" s="309"/>
      <c r="G365" s="309"/>
      <c r="H365" s="309"/>
      <c r="I365" s="309"/>
    </row>
    <row r="366">
      <c r="D366" s="309"/>
      <c r="E366" s="309"/>
      <c r="F366" s="309"/>
      <c r="G366" s="309"/>
      <c r="H366" s="309"/>
      <c r="I366" s="309"/>
    </row>
    <row r="367">
      <c r="D367" s="309"/>
      <c r="E367" s="309"/>
      <c r="F367" s="309"/>
      <c r="G367" s="309"/>
      <c r="H367" s="309"/>
      <c r="I367" s="309"/>
    </row>
    <row r="368">
      <c r="D368" s="309"/>
      <c r="E368" s="309"/>
      <c r="F368" s="309"/>
      <c r="G368" s="309"/>
      <c r="H368" s="309"/>
      <c r="I368" s="309"/>
    </row>
    <row r="369">
      <c r="D369" s="309"/>
      <c r="E369" s="309"/>
      <c r="F369" s="309"/>
      <c r="G369" s="309"/>
      <c r="H369" s="309"/>
      <c r="I369" s="309"/>
    </row>
    <row r="370">
      <c r="D370" s="309"/>
      <c r="E370" s="309"/>
      <c r="F370" s="309"/>
      <c r="G370" s="309"/>
      <c r="H370" s="309"/>
      <c r="I370" s="309"/>
    </row>
    <row r="371">
      <c r="D371" s="309"/>
      <c r="E371" s="309"/>
      <c r="F371" s="309"/>
      <c r="G371" s="309"/>
      <c r="H371" s="309"/>
      <c r="I371" s="309"/>
    </row>
    <row r="372">
      <c r="D372" s="309"/>
      <c r="E372" s="309"/>
      <c r="F372" s="309"/>
      <c r="G372" s="309"/>
      <c r="H372" s="309"/>
      <c r="I372" s="309"/>
    </row>
    <row r="373">
      <c r="D373" s="309"/>
      <c r="E373" s="309"/>
      <c r="F373" s="309"/>
      <c r="G373" s="309"/>
      <c r="H373" s="309"/>
      <c r="I373" s="309"/>
    </row>
    <row r="374">
      <c r="D374" s="309"/>
      <c r="E374" s="309"/>
      <c r="F374" s="309"/>
      <c r="G374" s="309"/>
      <c r="H374" s="309"/>
      <c r="I374" s="309"/>
    </row>
    <row r="375">
      <c r="D375" s="309"/>
      <c r="E375" s="309"/>
      <c r="F375" s="309"/>
      <c r="G375" s="309"/>
      <c r="H375" s="309"/>
      <c r="I375" s="309"/>
    </row>
    <row r="376">
      <c r="D376" s="309"/>
      <c r="E376" s="309"/>
      <c r="F376" s="309"/>
      <c r="G376" s="309"/>
      <c r="H376" s="309"/>
      <c r="I376" s="309"/>
    </row>
    <row r="377">
      <c r="D377" s="309"/>
      <c r="E377" s="309"/>
      <c r="F377" s="309"/>
      <c r="G377" s="309"/>
      <c r="H377" s="309"/>
      <c r="I377" s="309"/>
    </row>
    <row r="378">
      <c r="D378" s="309"/>
      <c r="E378" s="309"/>
      <c r="F378" s="309"/>
      <c r="G378" s="309"/>
      <c r="H378" s="309"/>
      <c r="I378" s="309"/>
    </row>
    <row r="379">
      <c r="D379" s="309"/>
      <c r="E379" s="309"/>
      <c r="F379" s="309"/>
      <c r="G379" s="309"/>
      <c r="H379" s="309"/>
      <c r="I379" s="309"/>
    </row>
    <row r="380">
      <c r="D380" s="309"/>
      <c r="E380" s="309"/>
      <c r="F380" s="309"/>
      <c r="G380" s="309"/>
      <c r="H380" s="309"/>
      <c r="I380" s="309"/>
    </row>
    <row r="381">
      <c r="D381" s="309"/>
      <c r="E381" s="309"/>
      <c r="F381" s="309"/>
      <c r="G381" s="309"/>
      <c r="H381" s="309"/>
      <c r="I381" s="309"/>
    </row>
    <row r="382">
      <c r="D382" s="309"/>
      <c r="E382" s="309"/>
      <c r="F382" s="309"/>
      <c r="G382" s="309"/>
      <c r="H382" s="309"/>
      <c r="I382" s="309"/>
    </row>
    <row r="383">
      <c r="D383" s="309"/>
      <c r="E383" s="309"/>
      <c r="F383" s="309"/>
      <c r="G383" s="309"/>
      <c r="H383" s="309"/>
      <c r="I383" s="309"/>
    </row>
    <row r="384">
      <c r="D384" s="309"/>
      <c r="E384" s="309"/>
      <c r="F384" s="309"/>
      <c r="G384" s="309"/>
      <c r="H384" s="309"/>
      <c r="I384" s="309"/>
    </row>
    <row r="385">
      <c r="D385" s="309"/>
      <c r="E385" s="309"/>
      <c r="F385" s="309"/>
      <c r="G385" s="309"/>
      <c r="H385" s="309"/>
      <c r="I385" s="309"/>
    </row>
    <row r="386">
      <c r="D386" s="309"/>
      <c r="E386" s="309"/>
      <c r="F386" s="309"/>
      <c r="G386" s="309"/>
      <c r="H386" s="309"/>
      <c r="I386" s="309"/>
    </row>
    <row r="387">
      <c r="D387" s="309"/>
      <c r="E387" s="309"/>
      <c r="F387" s="309"/>
      <c r="G387" s="309"/>
      <c r="H387" s="309"/>
      <c r="I387" s="309"/>
    </row>
    <row r="388">
      <c r="D388" s="309"/>
      <c r="E388" s="309"/>
      <c r="F388" s="309"/>
      <c r="G388" s="309"/>
      <c r="H388" s="309"/>
      <c r="I388" s="309"/>
    </row>
    <row r="389">
      <c r="D389" s="309"/>
      <c r="E389" s="309"/>
      <c r="F389" s="309"/>
      <c r="G389" s="309"/>
      <c r="H389" s="309"/>
      <c r="I389" s="309"/>
    </row>
    <row r="390">
      <c r="D390" s="309"/>
      <c r="E390" s="309"/>
      <c r="F390" s="309"/>
      <c r="G390" s="309"/>
      <c r="H390" s="309"/>
      <c r="I390" s="309"/>
    </row>
    <row r="391">
      <c r="D391" s="309"/>
      <c r="E391" s="309"/>
      <c r="F391" s="309"/>
      <c r="G391" s="309"/>
      <c r="H391" s="309"/>
      <c r="I391" s="309"/>
    </row>
    <row r="392">
      <c r="D392" s="309"/>
      <c r="E392" s="309"/>
      <c r="F392" s="309"/>
      <c r="G392" s="309"/>
      <c r="H392" s="309"/>
      <c r="I392" s="309"/>
    </row>
    <row r="393">
      <c r="D393" s="309"/>
      <c r="E393" s="309"/>
      <c r="F393" s="309"/>
      <c r="G393" s="309"/>
      <c r="H393" s="309"/>
      <c r="I393" s="309"/>
    </row>
    <row r="394">
      <c r="D394" s="309"/>
      <c r="E394" s="309"/>
      <c r="F394" s="309"/>
      <c r="G394" s="309"/>
      <c r="H394" s="309"/>
      <c r="I394" s="309"/>
    </row>
    <row r="395">
      <c r="D395" s="309"/>
      <c r="E395" s="309"/>
      <c r="F395" s="309"/>
      <c r="G395" s="309"/>
      <c r="H395" s="309"/>
      <c r="I395" s="309"/>
    </row>
    <row r="396">
      <c r="D396" s="309"/>
      <c r="E396" s="309"/>
      <c r="F396" s="309"/>
      <c r="G396" s="309"/>
      <c r="H396" s="309"/>
      <c r="I396" s="309"/>
    </row>
    <row r="397">
      <c r="D397" s="309"/>
      <c r="E397" s="309"/>
      <c r="F397" s="309"/>
      <c r="G397" s="309"/>
      <c r="H397" s="309"/>
      <c r="I397" s="309"/>
    </row>
    <row r="398">
      <c r="D398" s="309"/>
      <c r="E398" s="309"/>
      <c r="F398" s="309"/>
      <c r="G398" s="309"/>
      <c r="H398" s="309"/>
      <c r="I398" s="309"/>
    </row>
    <row r="399">
      <c r="D399" s="309"/>
      <c r="E399" s="309"/>
      <c r="F399" s="309"/>
      <c r="G399" s="309"/>
      <c r="H399" s="309"/>
      <c r="I399" s="309"/>
    </row>
    <row r="400">
      <c r="D400" s="309"/>
      <c r="E400" s="309"/>
      <c r="F400" s="309"/>
      <c r="G400" s="309"/>
      <c r="H400" s="309"/>
      <c r="I400" s="309"/>
    </row>
    <row r="401">
      <c r="D401" s="309"/>
      <c r="E401" s="309"/>
      <c r="F401" s="309"/>
      <c r="G401" s="309"/>
      <c r="H401" s="309"/>
      <c r="I401" s="309"/>
    </row>
    <row r="402">
      <c r="D402" s="309"/>
      <c r="E402" s="309"/>
      <c r="F402" s="309"/>
      <c r="G402" s="309"/>
      <c r="H402" s="309"/>
      <c r="I402" s="309"/>
    </row>
    <row r="403">
      <c r="D403" s="309"/>
      <c r="E403" s="309"/>
      <c r="F403" s="309"/>
      <c r="G403" s="309"/>
      <c r="H403" s="309"/>
      <c r="I403" s="309"/>
    </row>
    <row r="404">
      <c r="D404" s="309"/>
      <c r="E404" s="309"/>
      <c r="F404" s="309"/>
      <c r="G404" s="309"/>
      <c r="H404" s="309"/>
      <c r="I404" s="309"/>
    </row>
    <row r="405">
      <c r="D405" s="309"/>
      <c r="E405" s="309"/>
      <c r="F405" s="309"/>
      <c r="G405" s="309"/>
      <c r="H405" s="309"/>
      <c r="I405" s="309"/>
    </row>
    <row r="406">
      <c r="D406" s="309"/>
      <c r="E406" s="309"/>
      <c r="F406" s="309"/>
      <c r="G406" s="309"/>
      <c r="H406" s="309"/>
      <c r="I406" s="309"/>
    </row>
    <row r="407">
      <c r="D407" s="309"/>
      <c r="E407" s="309"/>
      <c r="F407" s="309"/>
      <c r="G407" s="309"/>
      <c r="H407" s="309"/>
      <c r="I407" s="309"/>
    </row>
    <row r="408">
      <c r="D408" s="309"/>
      <c r="E408" s="309"/>
      <c r="F408" s="309"/>
      <c r="G408" s="309"/>
      <c r="H408" s="309"/>
      <c r="I408" s="309"/>
    </row>
    <row r="409">
      <c r="D409" s="309"/>
      <c r="E409" s="309"/>
      <c r="F409" s="309"/>
      <c r="G409" s="309"/>
      <c r="H409" s="309"/>
      <c r="I409" s="309"/>
    </row>
    <row r="410">
      <c r="D410" s="309"/>
      <c r="E410" s="309"/>
      <c r="F410" s="309"/>
      <c r="G410" s="309"/>
      <c r="H410" s="309"/>
      <c r="I410" s="309"/>
    </row>
    <row r="411">
      <c r="D411" s="309"/>
      <c r="E411" s="309"/>
      <c r="F411" s="309"/>
      <c r="G411" s="309"/>
      <c r="H411" s="309"/>
      <c r="I411" s="309"/>
    </row>
    <row r="412">
      <c r="D412" s="309"/>
      <c r="E412" s="309"/>
      <c r="F412" s="309"/>
      <c r="G412" s="309"/>
      <c r="H412" s="309"/>
      <c r="I412" s="309"/>
    </row>
    <row r="413">
      <c r="D413" s="309"/>
      <c r="E413" s="309"/>
      <c r="F413" s="309"/>
      <c r="G413" s="309"/>
      <c r="H413" s="309"/>
      <c r="I413" s="309"/>
    </row>
    <row r="414">
      <c r="D414" s="309"/>
      <c r="E414" s="309"/>
      <c r="F414" s="309"/>
      <c r="G414" s="309"/>
      <c r="H414" s="309"/>
      <c r="I414" s="309"/>
    </row>
    <row r="415">
      <c r="D415" s="309"/>
      <c r="E415" s="309"/>
      <c r="F415" s="309"/>
      <c r="G415" s="309"/>
      <c r="H415" s="309"/>
      <c r="I415" s="309"/>
    </row>
    <row r="416">
      <c r="D416" s="309"/>
      <c r="E416" s="309"/>
      <c r="F416" s="309"/>
      <c r="G416" s="309"/>
      <c r="H416" s="309"/>
      <c r="I416" s="309"/>
    </row>
    <row r="417">
      <c r="D417" s="309"/>
      <c r="E417" s="309"/>
      <c r="F417" s="309"/>
      <c r="G417" s="309"/>
      <c r="H417" s="309"/>
      <c r="I417" s="309"/>
    </row>
    <row r="418">
      <c r="D418" s="309"/>
      <c r="E418" s="309"/>
      <c r="F418" s="309"/>
      <c r="G418" s="309"/>
      <c r="H418" s="309"/>
      <c r="I418" s="309"/>
    </row>
    <row r="419">
      <c r="D419" s="309"/>
      <c r="E419" s="309"/>
      <c r="F419" s="309"/>
      <c r="G419" s="309"/>
      <c r="H419" s="309"/>
      <c r="I419" s="309"/>
    </row>
    <row r="420">
      <c r="D420" s="309"/>
      <c r="E420" s="309"/>
      <c r="F420" s="309"/>
      <c r="G420" s="309"/>
      <c r="H420" s="309"/>
      <c r="I420" s="309"/>
    </row>
    <row r="421">
      <c r="D421" s="309"/>
      <c r="E421" s="309"/>
      <c r="F421" s="309"/>
      <c r="G421" s="309"/>
      <c r="H421" s="309"/>
      <c r="I421" s="309"/>
    </row>
    <row r="422">
      <c r="D422" s="309"/>
      <c r="E422" s="309"/>
      <c r="F422" s="309"/>
      <c r="G422" s="309"/>
      <c r="H422" s="309"/>
      <c r="I422" s="309"/>
    </row>
    <row r="423">
      <c r="D423" s="309"/>
      <c r="E423" s="309"/>
      <c r="F423" s="309"/>
      <c r="G423" s="309"/>
      <c r="H423" s="309"/>
      <c r="I423" s="309"/>
    </row>
    <row r="424">
      <c r="D424" s="309"/>
      <c r="E424" s="309"/>
      <c r="F424" s="309"/>
      <c r="G424" s="309"/>
      <c r="H424" s="309"/>
      <c r="I424" s="309"/>
    </row>
    <row r="425">
      <c r="D425" s="309"/>
      <c r="E425" s="309"/>
      <c r="F425" s="309"/>
      <c r="G425" s="309"/>
      <c r="H425" s="309"/>
      <c r="I425" s="309"/>
    </row>
    <row r="426">
      <c r="D426" s="309"/>
      <c r="E426" s="309"/>
      <c r="F426" s="309"/>
      <c r="G426" s="309"/>
      <c r="H426" s="309"/>
      <c r="I426" s="309"/>
    </row>
    <row r="427">
      <c r="D427" s="309"/>
      <c r="E427" s="309"/>
      <c r="F427" s="309"/>
      <c r="G427" s="309"/>
      <c r="H427" s="309"/>
      <c r="I427" s="309"/>
    </row>
    <row r="428">
      <c r="D428" s="309"/>
      <c r="E428" s="309"/>
      <c r="F428" s="309"/>
      <c r="G428" s="309"/>
      <c r="H428" s="309"/>
      <c r="I428" s="309"/>
    </row>
    <row r="429">
      <c r="D429" s="309"/>
      <c r="E429" s="309"/>
      <c r="F429" s="309"/>
      <c r="G429" s="309"/>
      <c r="H429" s="309"/>
      <c r="I429" s="309"/>
    </row>
    <row r="430">
      <c r="D430" s="309"/>
      <c r="E430" s="309"/>
      <c r="F430" s="309"/>
      <c r="G430" s="309"/>
      <c r="H430" s="309"/>
      <c r="I430" s="309"/>
    </row>
    <row r="431">
      <c r="D431" s="309"/>
      <c r="E431" s="309"/>
      <c r="F431" s="309"/>
      <c r="G431" s="309"/>
      <c r="H431" s="309"/>
      <c r="I431" s="309"/>
    </row>
    <row r="432">
      <c r="D432" s="309"/>
      <c r="E432" s="309"/>
      <c r="F432" s="309"/>
      <c r="G432" s="309"/>
      <c r="H432" s="309"/>
      <c r="I432" s="309"/>
    </row>
    <row r="433">
      <c r="D433" s="309"/>
      <c r="E433" s="309"/>
      <c r="F433" s="309"/>
      <c r="G433" s="309"/>
      <c r="H433" s="309"/>
      <c r="I433" s="309"/>
    </row>
    <row r="434">
      <c r="D434" s="309"/>
      <c r="E434" s="309"/>
      <c r="F434" s="309"/>
      <c r="G434" s="309"/>
      <c r="H434" s="309"/>
      <c r="I434" s="309"/>
    </row>
    <row r="435">
      <c r="D435" s="309"/>
      <c r="E435" s="309"/>
      <c r="F435" s="309"/>
      <c r="G435" s="309"/>
      <c r="H435" s="309"/>
      <c r="I435" s="309"/>
    </row>
    <row r="436">
      <c r="D436" s="309"/>
      <c r="E436" s="309"/>
      <c r="F436" s="309"/>
      <c r="G436" s="309"/>
      <c r="H436" s="309"/>
      <c r="I436" s="309"/>
    </row>
    <row r="437">
      <c r="D437" s="309"/>
      <c r="E437" s="309"/>
      <c r="F437" s="309"/>
      <c r="G437" s="309"/>
      <c r="H437" s="309"/>
      <c r="I437" s="309"/>
    </row>
    <row r="438">
      <c r="D438" s="309"/>
      <c r="E438" s="309"/>
      <c r="F438" s="309"/>
      <c r="G438" s="309"/>
      <c r="H438" s="309"/>
      <c r="I438" s="309"/>
    </row>
    <row r="439">
      <c r="D439" s="309"/>
      <c r="E439" s="309"/>
      <c r="F439" s="309"/>
      <c r="G439" s="309"/>
      <c r="H439" s="309"/>
      <c r="I439" s="309"/>
    </row>
    <row r="440">
      <c r="D440" s="309"/>
      <c r="E440" s="309"/>
      <c r="F440" s="309"/>
      <c r="G440" s="309"/>
      <c r="H440" s="309"/>
      <c r="I440" s="309"/>
    </row>
    <row r="441">
      <c r="D441" s="309"/>
      <c r="E441" s="309"/>
      <c r="F441" s="309"/>
      <c r="G441" s="309"/>
      <c r="H441" s="309"/>
      <c r="I441" s="309"/>
    </row>
    <row r="442">
      <c r="D442" s="309"/>
      <c r="E442" s="309"/>
      <c r="F442" s="309"/>
      <c r="G442" s="309"/>
      <c r="H442" s="309"/>
      <c r="I442" s="309"/>
    </row>
    <row r="443">
      <c r="D443" s="309"/>
      <c r="E443" s="309"/>
      <c r="F443" s="309"/>
      <c r="G443" s="309"/>
      <c r="H443" s="309"/>
      <c r="I443" s="309"/>
    </row>
    <row r="444">
      <c r="D444" s="309"/>
      <c r="E444" s="309"/>
      <c r="F444" s="309"/>
      <c r="G444" s="309"/>
      <c r="H444" s="309"/>
      <c r="I444" s="309"/>
    </row>
    <row r="445">
      <c r="D445" s="309"/>
      <c r="E445" s="309"/>
      <c r="F445" s="309"/>
      <c r="G445" s="309"/>
      <c r="H445" s="309"/>
      <c r="I445" s="309"/>
    </row>
    <row r="446">
      <c r="D446" s="309"/>
      <c r="E446" s="309"/>
      <c r="F446" s="309"/>
      <c r="G446" s="309"/>
      <c r="H446" s="309"/>
      <c r="I446" s="309"/>
    </row>
    <row r="447">
      <c r="D447" s="309"/>
      <c r="E447" s="309"/>
      <c r="F447" s="309"/>
      <c r="G447" s="309"/>
      <c r="H447" s="309"/>
      <c r="I447" s="309"/>
    </row>
    <row r="448">
      <c r="D448" s="309"/>
      <c r="E448" s="309"/>
      <c r="F448" s="309"/>
      <c r="G448" s="309"/>
      <c r="H448" s="309"/>
      <c r="I448" s="309"/>
    </row>
    <row r="449">
      <c r="D449" s="309"/>
      <c r="E449" s="309"/>
      <c r="F449" s="309"/>
      <c r="G449" s="309"/>
      <c r="H449" s="309"/>
      <c r="I449" s="309"/>
    </row>
    <row r="450">
      <c r="D450" s="309"/>
      <c r="E450" s="309"/>
      <c r="F450" s="309"/>
      <c r="G450" s="309"/>
      <c r="H450" s="309"/>
      <c r="I450" s="309"/>
    </row>
    <row r="451">
      <c r="D451" s="309"/>
      <c r="E451" s="309"/>
      <c r="F451" s="309"/>
      <c r="G451" s="309"/>
      <c r="H451" s="309"/>
      <c r="I451" s="309"/>
    </row>
    <row r="452">
      <c r="D452" s="309"/>
      <c r="E452" s="309"/>
      <c r="F452" s="309"/>
      <c r="G452" s="309"/>
      <c r="H452" s="309"/>
      <c r="I452" s="309"/>
    </row>
    <row r="453">
      <c r="D453" s="309"/>
      <c r="E453" s="309"/>
      <c r="F453" s="309"/>
      <c r="G453" s="309"/>
      <c r="H453" s="309"/>
      <c r="I453" s="309"/>
    </row>
    <row r="454">
      <c r="D454" s="309"/>
      <c r="E454" s="309"/>
      <c r="F454" s="309"/>
      <c r="G454" s="309"/>
      <c r="H454" s="309"/>
      <c r="I454" s="309"/>
    </row>
    <row r="455">
      <c r="D455" s="309"/>
      <c r="E455" s="309"/>
      <c r="F455" s="309"/>
      <c r="G455" s="309"/>
      <c r="H455" s="309"/>
      <c r="I455" s="309"/>
    </row>
    <row r="456">
      <c r="D456" s="309"/>
      <c r="E456" s="309"/>
      <c r="F456" s="309"/>
      <c r="G456" s="309"/>
      <c r="H456" s="309"/>
      <c r="I456" s="309"/>
    </row>
    <row r="457">
      <c r="D457" s="309"/>
      <c r="E457" s="309"/>
      <c r="F457" s="309"/>
      <c r="G457" s="309"/>
      <c r="H457" s="309"/>
      <c r="I457" s="309"/>
    </row>
    <row r="458">
      <c r="D458" s="309"/>
      <c r="E458" s="309"/>
      <c r="F458" s="309"/>
      <c r="G458" s="309"/>
      <c r="H458" s="309"/>
      <c r="I458" s="309"/>
    </row>
    <row r="459">
      <c r="D459" s="309"/>
      <c r="E459" s="309"/>
      <c r="F459" s="309"/>
      <c r="G459" s="309"/>
      <c r="H459" s="309"/>
      <c r="I459" s="309"/>
    </row>
    <row r="460">
      <c r="D460" s="309"/>
      <c r="E460" s="309"/>
      <c r="F460" s="309"/>
      <c r="G460" s="309"/>
      <c r="H460" s="309"/>
      <c r="I460" s="309"/>
    </row>
    <row r="461">
      <c r="D461" s="309"/>
      <c r="E461" s="309"/>
      <c r="F461" s="309"/>
      <c r="G461" s="309"/>
      <c r="H461" s="309"/>
      <c r="I461" s="309"/>
    </row>
    <row r="462">
      <c r="D462" s="309"/>
      <c r="E462" s="309"/>
      <c r="F462" s="309"/>
      <c r="G462" s="309"/>
      <c r="H462" s="309"/>
      <c r="I462" s="309"/>
    </row>
    <row r="463">
      <c r="D463" s="309"/>
      <c r="E463" s="309"/>
      <c r="F463" s="309"/>
      <c r="G463" s="309"/>
      <c r="H463" s="309"/>
      <c r="I463" s="309"/>
    </row>
    <row r="464">
      <c r="D464" s="309"/>
      <c r="E464" s="309"/>
      <c r="F464" s="309"/>
      <c r="G464" s="309"/>
      <c r="H464" s="309"/>
      <c r="I464" s="309"/>
    </row>
    <row r="465">
      <c r="D465" s="309"/>
      <c r="E465" s="309"/>
      <c r="F465" s="309"/>
      <c r="G465" s="309"/>
      <c r="H465" s="309"/>
      <c r="I465" s="309"/>
    </row>
    <row r="466">
      <c r="D466" s="309"/>
      <c r="E466" s="309"/>
      <c r="F466" s="309"/>
      <c r="G466" s="309"/>
      <c r="H466" s="309"/>
      <c r="I466" s="309"/>
    </row>
    <row r="467">
      <c r="D467" s="309"/>
      <c r="E467" s="309"/>
      <c r="F467" s="309"/>
      <c r="G467" s="309"/>
      <c r="H467" s="309"/>
      <c r="I467" s="309"/>
    </row>
    <row r="468">
      <c r="D468" s="309"/>
      <c r="E468" s="309"/>
      <c r="F468" s="309"/>
      <c r="G468" s="309"/>
      <c r="H468" s="309"/>
      <c r="I468" s="309"/>
    </row>
    <row r="469">
      <c r="D469" s="309"/>
      <c r="E469" s="309"/>
      <c r="F469" s="309"/>
      <c r="G469" s="309"/>
      <c r="H469" s="309"/>
      <c r="I469" s="309"/>
    </row>
    <row r="470">
      <c r="D470" s="309"/>
      <c r="E470" s="309"/>
      <c r="F470" s="309"/>
      <c r="G470" s="309"/>
      <c r="H470" s="309"/>
      <c r="I470" s="309"/>
    </row>
    <row r="471">
      <c r="D471" s="309"/>
      <c r="E471" s="309"/>
      <c r="F471" s="309"/>
      <c r="G471" s="309"/>
      <c r="H471" s="309"/>
      <c r="I471" s="309"/>
    </row>
    <row r="472">
      <c r="D472" s="309"/>
      <c r="E472" s="309"/>
      <c r="F472" s="309"/>
      <c r="G472" s="309"/>
      <c r="H472" s="309"/>
      <c r="I472" s="309"/>
    </row>
    <row r="473">
      <c r="D473" s="309"/>
      <c r="E473" s="309"/>
      <c r="F473" s="309"/>
      <c r="G473" s="309"/>
      <c r="H473" s="309"/>
      <c r="I473" s="309"/>
    </row>
    <row r="474">
      <c r="D474" s="309"/>
      <c r="E474" s="309"/>
      <c r="F474" s="309"/>
      <c r="G474" s="309"/>
      <c r="H474" s="309"/>
      <c r="I474" s="309"/>
    </row>
    <row r="475">
      <c r="D475" s="309"/>
      <c r="E475" s="309"/>
      <c r="F475" s="309"/>
      <c r="G475" s="309"/>
      <c r="H475" s="309"/>
      <c r="I475" s="309"/>
    </row>
    <row r="476">
      <c r="D476" s="309"/>
      <c r="E476" s="309"/>
      <c r="F476" s="309"/>
      <c r="G476" s="309"/>
      <c r="H476" s="309"/>
      <c r="I476" s="309"/>
    </row>
    <row r="477">
      <c r="D477" s="309"/>
      <c r="E477" s="309"/>
      <c r="F477" s="309"/>
      <c r="G477" s="309"/>
      <c r="H477" s="309"/>
      <c r="I477" s="309"/>
    </row>
    <row r="478">
      <c r="D478" s="309"/>
      <c r="E478" s="309"/>
      <c r="F478" s="309"/>
      <c r="G478" s="309"/>
      <c r="H478" s="309"/>
      <c r="I478" s="309"/>
    </row>
    <row r="479">
      <c r="D479" s="309"/>
      <c r="E479" s="309"/>
      <c r="F479" s="309"/>
      <c r="G479" s="309"/>
      <c r="H479" s="309"/>
      <c r="I479" s="309"/>
    </row>
    <row r="480">
      <c r="D480" s="309"/>
      <c r="E480" s="309"/>
      <c r="F480" s="309"/>
      <c r="G480" s="309"/>
      <c r="H480" s="309"/>
      <c r="I480" s="309"/>
    </row>
    <row r="481">
      <c r="D481" s="309"/>
      <c r="E481" s="309"/>
      <c r="F481" s="309"/>
      <c r="G481" s="309"/>
      <c r="H481" s="309"/>
      <c r="I481" s="309"/>
    </row>
    <row r="482">
      <c r="D482" s="309"/>
      <c r="E482" s="309"/>
      <c r="F482" s="309"/>
      <c r="G482" s="309"/>
      <c r="H482" s="309"/>
      <c r="I482" s="309"/>
    </row>
    <row r="483">
      <c r="D483" s="309"/>
      <c r="E483" s="309"/>
      <c r="F483" s="309"/>
      <c r="G483" s="309"/>
      <c r="H483" s="309"/>
      <c r="I483" s="309"/>
    </row>
    <row r="484">
      <c r="D484" s="309"/>
      <c r="E484" s="309"/>
      <c r="F484" s="309"/>
      <c r="G484" s="309"/>
      <c r="H484" s="309"/>
      <c r="I484" s="309"/>
    </row>
    <row r="485">
      <c r="D485" s="309"/>
      <c r="E485" s="309"/>
      <c r="F485" s="309"/>
      <c r="G485" s="309"/>
      <c r="H485" s="309"/>
      <c r="I485" s="309"/>
    </row>
    <row r="486">
      <c r="D486" s="309"/>
      <c r="E486" s="309"/>
      <c r="F486" s="309"/>
      <c r="G486" s="309"/>
      <c r="H486" s="309"/>
      <c r="I486" s="309"/>
    </row>
    <row r="487">
      <c r="D487" s="309"/>
      <c r="E487" s="309"/>
      <c r="F487" s="309"/>
      <c r="G487" s="309"/>
      <c r="H487" s="309"/>
      <c r="I487" s="309"/>
    </row>
    <row r="488">
      <c r="D488" s="309"/>
      <c r="E488" s="309"/>
      <c r="F488" s="309"/>
      <c r="G488" s="309"/>
      <c r="H488" s="309"/>
      <c r="I488" s="309"/>
    </row>
    <row r="489">
      <c r="D489" s="309"/>
      <c r="E489" s="309"/>
      <c r="F489" s="309"/>
      <c r="G489" s="309"/>
      <c r="H489" s="309"/>
      <c r="I489" s="309"/>
    </row>
    <row r="490">
      <c r="D490" s="309"/>
      <c r="E490" s="309"/>
      <c r="F490" s="309"/>
      <c r="G490" s="309"/>
      <c r="H490" s="309"/>
      <c r="I490" s="309"/>
    </row>
    <row r="491">
      <c r="D491" s="309"/>
      <c r="E491" s="309"/>
      <c r="F491" s="309"/>
      <c r="G491" s="309"/>
      <c r="H491" s="309"/>
      <c r="I491" s="309"/>
    </row>
    <row r="492">
      <c r="D492" s="309"/>
      <c r="E492" s="309"/>
      <c r="F492" s="309"/>
      <c r="G492" s="309"/>
      <c r="H492" s="309"/>
      <c r="I492" s="309"/>
    </row>
    <row r="493">
      <c r="D493" s="309"/>
      <c r="E493" s="309"/>
      <c r="F493" s="309"/>
      <c r="G493" s="309"/>
      <c r="H493" s="309"/>
      <c r="I493" s="309"/>
    </row>
    <row r="494">
      <c r="D494" s="309"/>
      <c r="E494" s="309"/>
      <c r="F494" s="309"/>
      <c r="G494" s="309"/>
      <c r="H494" s="309"/>
      <c r="I494" s="309"/>
    </row>
    <row r="495">
      <c r="D495" s="309"/>
      <c r="E495" s="309"/>
      <c r="F495" s="309"/>
      <c r="G495" s="309"/>
      <c r="H495" s="309"/>
      <c r="I495" s="309"/>
    </row>
    <row r="496">
      <c r="D496" s="309"/>
      <c r="E496" s="309"/>
      <c r="F496" s="309"/>
      <c r="G496" s="309"/>
      <c r="H496" s="309"/>
      <c r="I496" s="309"/>
    </row>
    <row r="497">
      <c r="D497" s="309"/>
      <c r="E497" s="309"/>
      <c r="F497" s="309"/>
      <c r="G497" s="309"/>
      <c r="H497" s="309"/>
      <c r="I497" s="309"/>
    </row>
    <row r="498">
      <c r="D498" s="309"/>
      <c r="E498" s="309"/>
      <c r="F498" s="309"/>
      <c r="G498" s="309"/>
      <c r="H498" s="309"/>
      <c r="I498" s="309"/>
    </row>
    <row r="499">
      <c r="D499" s="309"/>
      <c r="E499" s="309"/>
      <c r="F499" s="309"/>
      <c r="G499" s="309"/>
      <c r="H499" s="309"/>
      <c r="I499" s="309"/>
    </row>
    <row r="500">
      <c r="D500" s="309"/>
      <c r="E500" s="309"/>
      <c r="F500" s="309"/>
      <c r="G500" s="309"/>
      <c r="H500" s="309"/>
      <c r="I500" s="309"/>
    </row>
    <row r="501">
      <c r="D501" s="309"/>
      <c r="E501" s="309"/>
      <c r="F501" s="309"/>
      <c r="G501" s="309"/>
      <c r="H501" s="309"/>
      <c r="I501" s="309"/>
    </row>
    <row r="502">
      <c r="D502" s="309"/>
      <c r="E502" s="309"/>
      <c r="F502" s="309"/>
      <c r="G502" s="309"/>
      <c r="H502" s="309"/>
      <c r="I502" s="309"/>
    </row>
    <row r="503">
      <c r="D503" s="309"/>
      <c r="E503" s="309"/>
      <c r="F503" s="309"/>
      <c r="G503" s="309"/>
      <c r="H503" s="309"/>
      <c r="I503" s="309"/>
    </row>
    <row r="504">
      <c r="D504" s="309"/>
      <c r="E504" s="309"/>
      <c r="F504" s="309"/>
      <c r="G504" s="309"/>
      <c r="H504" s="309"/>
      <c r="I504" s="309"/>
    </row>
    <row r="505">
      <c r="D505" s="309"/>
      <c r="E505" s="309"/>
      <c r="F505" s="309"/>
      <c r="G505" s="309"/>
      <c r="H505" s="309"/>
      <c r="I505" s="309"/>
    </row>
    <row r="506">
      <c r="D506" s="309"/>
      <c r="E506" s="309"/>
      <c r="F506" s="309"/>
      <c r="G506" s="309"/>
      <c r="H506" s="309"/>
      <c r="I506" s="309"/>
    </row>
    <row r="507">
      <c r="D507" s="309"/>
      <c r="E507" s="309"/>
      <c r="F507" s="309"/>
      <c r="G507" s="309"/>
      <c r="H507" s="309"/>
      <c r="I507" s="309"/>
    </row>
    <row r="508">
      <c r="D508" s="309"/>
      <c r="E508" s="309"/>
      <c r="F508" s="309"/>
      <c r="G508" s="309"/>
      <c r="H508" s="309"/>
      <c r="I508" s="309"/>
    </row>
    <row r="509">
      <c r="D509" s="309"/>
      <c r="E509" s="309"/>
      <c r="F509" s="309"/>
      <c r="G509" s="309"/>
      <c r="H509" s="309"/>
      <c r="I509" s="309"/>
    </row>
    <row r="510">
      <c r="D510" s="309"/>
      <c r="E510" s="309"/>
      <c r="F510" s="309"/>
      <c r="G510" s="309"/>
      <c r="H510" s="309"/>
      <c r="I510" s="309"/>
    </row>
    <row r="511">
      <c r="D511" s="309"/>
      <c r="E511" s="309"/>
      <c r="F511" s="309"/>
      <c r="G511" s="309"/>
      <c r="H511" s="309"/>
      <c r="I511" s="309"/>
    </row>
    <row r="512">
      <c r="D512" s="309"/>
      <c r="E512" s="309"/>
      <c r="F512" s="309"/>
      <c r="G512" s="309"/>
      <c r="H512" s="309"/>
      <c r="I512" s="309"/>
    </row>
    <row r="513">
      <c r="D513" s="309"/>
      <c r="E513" s="309"/>
      <c r="F513" s="309"/>
      <c r="G513" s="309"/>
      <c r="H513" s="309"/>
      <c r="I513" s="309"/>
    </row>
    <row r="514">
      <c r="D514" s="309"/>
      <c r="E514" s="309"/>
      <c r="F514" s="309"/>
      <c r="G514" s="309"/>
      <c r="H514" s="309"/>
      <c r="I514" s="309"/>
    </row>
    <row r="515">
      <c r="D515" s="309"/>
      <c r="E515" s="309"/>
      <c r="F515" s="309"/>
      <c r="G515" s="309"/>
      <c r="H515" s="309"/>
      <c r="I515" s="309"/>
    </row>
    <row r="516">
      <c r="D516" s="309"/>
      <c r="E516" s="309"/>
      <c r="F516" s="309"/>
      <c r="G516" s="309"/>
      <c r="H516" s="309"/>
      <c r="I516" s="309"/>
    </row>
    <row r="517">
      <c r="D517" s="309"/>
      <c r="E517" s="309"/>
      <c r="F517" s="309"/>
      <c r="G517" s="309"/>
      <c r="H517" s="309"/>
      <c r="I517" s="309"/>
    </row>
    <row r="518">
      <c r="D518" s="309"/>
      <c r="E518" s="309"/>
      <c r="F518" s="309"/>
      <c r="G518" s="309"/>
      <c r="H518" s="309"/>
      <c r="I518" s="309"/>
    </row>
    <row r="519">
      <c r="D519" s="309"/>
      <c r="E519" s="309"/>
      <c r="F519" s="309"/>
      <c r="G519" s="309"/>
      <c r="H519" s="309"/>
      <c r="I519" s="309"/>
    </row>
    <row r="520">
      <c r="D520" s="309"/>
      <c r="E520" s="309"/>
      <c r="F520" s="309"/>
      <c r="G520" s="309"/>
      <c r="H520" s="309"/>
      <c r="I520" s="309"/>
    </row>
    <row r="521">
      <c r="D521" s="309"/>
      <c r="E521" s="309"/>
      <c r="F521" s="309"/>
      <c r="G521" s="309"/>
      <c r="H521" s="309"/>
      <c r="I521" s="309"/>
    </row>
    <row r="522">
      <c r="D522" s="309"/>
      <c r="E522" s="309"/>
      <c r="F522" s="309"/>
      <c r="G522" s="309"/>
      <c r="H522" s="309"/>
      <c r="I522" s="309"/>
    </row>
    <row r="523">
      <c r="D523" s="309"/>
      <c r="E523" s="309"/>
      <c r="F523" s="309"/>
      <c r="G523" s="309"/>
      <c r="H523" s="309"/>
      <c r="I523" s="309"/>
    </row>
    <row r="524">
      <c r="D524" s="309"/>
      <c r="E524" s="309"/>
      <c r="F524" s="309"/>
      <c r="G524" s="309"/>
      <c r="H524" s="309"/>
      <c r="I524" s="309"/>
    </row>
    <row r="525">
      <c r="D525" s="309"/>
      <c r="E525" s="309"/>
      <c r="F525" s="309"/>
      <c r="G525" s="309"/>
      <c r="H525" s="309"/>
      <c r="I525" s="309"/>
    </row>
    <row r="526">
      <c r="D526" s="309"/>
      <c r="E526" s="309"/>
      <c r="F526" s="309"/>
      <c r="G526" s="309"/>
      <c r="H526" s="309"/>
      <c r="I526" s="309"/>
    </row>
    <row r="527">
      <c r="D527" s="309"/>
      <c r="E527" s="309"/>
      <c r="F527" s="309"/>
      <c r="G527" s="309"/>
      <c r="H527" s="309"/>
      <c r="I527" s="309"/>
    </row>
    <row r="528">
      <c r="D528" s="309"/>
      <c r="E528" s="309"/>
      <c r="F528" s="309"/>
      <c r="G528" s="309"/>
      <c r="H528" s="309"/>
      <c r="I528" s="309"/>
    </row>
    <row r="529">
      <c r="D529" s="309"/>
      <c r="E529" s="309"/>
      <c r="F529" s="309"/>
      <c r="G529" s="309"/>
      <c r="H529" s="309"/>
      <c r="I529" s="309"/>
    </row>
    <row r="530">
      <c r="D530" s="309"/>
      <c r="E530" s="309"/>
      <c r="F530" s="309"/>
      <c r="G530" s="309"/>
      <c r="H530" s="309"/>
      <c r="I530" s="309"/>
    </row>
    <row r="531">
      <c r="D531" s="309"/>
      <c r="E531" s="309"/>
      <c r="F531" s="309"/>
      <c r="G531" s="309"/>
      <c r="H531" s="309"/>
      <c r="I531" s="309"/>
    </row>
    <row r="532">
      <c r="D532" s="309"/>
      <c r="E532" s="309"/>
      <c r="F532" s="309"/>
      <c r="G532" s="309"/>
      <c r="H532" s="309"/>
      <c r="I532" s="309"/>
    </row>
    <row r="533">
      <c r="D533" s="309"/>
      <c r="E533" s="309"/>
      <c r="F533" s="309"/>
      <c r="G533" s="309"/>
      <c r="H533" s="309"/>
      <c r="I533" s="309"/>
    </row>
    <row r="534">
      <c r="D534" s="309"/>
      <c r="E534" s="309"/>
      <c r="F534" s="309"/>
      <c r="G534" s="309"/>
      <c r="H534" s="309"/>
      <c r="I534" s="309"/>
    </row>
    <row r="535">
      <c r="D535" s="309"/>
      <c r="E535" s="309"/>
      <c r="F535" s="309"/>
      <c r="G535" s="309"/>
      <c r="H535" s="309"/>
      <c r="I535" s="309"/>
    </row>
    <row r="536">
      <c r="D536" s="309"/>
      <c r="E536" s="309"/>
      <c r="F536" s="309"/>
      <c r="G536" s="309"/>
      <c r="H536" s="309"/>
      <c r="I536" s="309"/>
    </row>
    <row r="537">
      <c r="D537" s="309"/>
      <c r="E537" s="309"/>
      <c r="F537" s="309"/>
      <c r="G537" s="309"/>
      <c r="H537" s="309"/>
      <c r="I537" s="309"/>
    </row>
    <row r="538">
      <c r="D538" s="309"/>
      <c r="E538" s="309"/>
      <c r="F538" s="309"/>
      <c r="G538" s="309"/>
      <c r="H538" s="309"/>
      <c r="I538" s="309"/>
    </row>
    <row r="539">
      <c r="D539" s="309"/>
      <c r="E539" s="309"/>
      <c r="F539" s="309"/>
      <c r="G539" s="309"/>
      <c r="H539" s="309"/>
      <c r="I539" s="309"/>
    </row>
    <row r="540">
      <c r="D540" s="309"/>
      <c r="E540" s="309"/>
      <c r="F540" s="309"/>
      <c r="G540" s="309"/>
      <c r="H540" s="309"/>
      <c r="I540" s="309"/>
    </row>
    <row r="541">
      <c r="D541" s="309"/>
      <c r="E541" s="309"/>
      <c r="F541" s="309"/>
      <c r="G541" s="309"/>
      <c r="H541" s="309"/>
      <c r="I541" s="309"/>
    </row>
    <row r="542">
      <c r="D542" s="309"/>
      <c r="E542" s="309"/>
      <c r="F542" s="309"/>
      <c r="G542" s="309"/>
      <c r="H542" s="309"/>
      <c r="I542" s="309"/>
    </row>
    <row r="543">
      <c r="D543" s="309"/>
      <c r="E543" s="309"/>
      <c r="F543" s="309"/>
      <c r="G543" s="309"/>
      <c r="H543" s="309"/>
      <c r="I543" s="309"/>
    </row>
    <row r="544">
      <c r="D544" s="309"/>
      <c r="E544" s="309"/>
      <c r="F544" s="309"/>
      <c r="G544" s="309"/>
      <c r="H544" s="309"/>
      <c r="I544" s="309"/>
    </row>
    <row r="545">
      <c r="D545" s="309"/>
      <c r="E545" s="309"/>
      <c r="F545" s="309"/>
      <c r="G545" s="309"/>
      <c r="H545" s="309"/>
      <c r="I545" s="309"/>
    </row>
    <row r="546">
      <c r="D546" s="309"/>
      <c r="E546" s="309"/>
      <c r="F546" s="309"/>
      <c r="G546" s="309"/>
      <c r="H546" s="309"/>
      <c r="I546" s="309"/>
    </row>
    <row r="547">
      <c r="D547" s="309"/>
      <c r="E547" s="309"/>
      <c r="F547" s="309"/>
      <c r="G547" s="309"/>
      <c r="H547" s="309"/>
      <c r="I547" s="309"/>
    </row>
    <row r="548">
      <c r="D548" s="309"/>
      <c r="E548" s="309"/>
      <c r="F548" s="309"/>
      <c r="G548" s="309"/>
      <c r="H548" s="309"/>
      <c r="I548" s="309"/>
    </row>
    <row r="549">
      <c r="D549" s="309"/>
      <c r="E549" s="309"/>
      <c r="F549" s="309"/>
      <c r="G549" s="309"/>
      <c r="H549" s="309"/>
      <c r="I549" s="309"/>
    </row>
    <row r="550">
      <c r="D550" s="309"/>
      <c r="E550" s="309"/>
      <c r="F550" s="309"/>
      <c r="G550" s="309"/>
      <c r="H550" s="309"/>
      <c r="I550" s="309"/>
    </row>
    <row r="551">
      <c r="D551" s="309"/>
      <c r="E551" s="309"/>
      <c r="F551" s="309"/>
      <c r="G551" s="309"/>
      <c r="H551" s="309"/>
      <c r="I551" s="309"/>
    </row>
    <row r="552">
      <c r="D552" s="309"/>
      <c r="E552" s="309"/>
      <c r="F552" s="309"/>
      <c r="G552" s="309"/>
      <c r="H552" s="309"/>
      <c r="I552" s="309"/>
    </row>
    <row r="553">
      <c r="D553" s="309"/>
      <c r="E553" s="309"/>
      <c r="F553" s="309"/>
      <c r="G553" s="309"/>
      <c r="H553" s="309"/>
      <c r="I553" s="309"/>
    </row>
    <row r="554">
      <c r="D554" s="309"/>
      <c r="E554" s="309"/>
      <c r="F554" s="309"/>
      <c r="G554" s="309"/>
      <c r="H554" s="309"/>
      <c r="I554" s="309"/>
    </row>
    <row r="555">
      <c r="D555" s="309"/>
      <c r="E555" s="309"/>
      <c r="F555" s="309"/>
      <c r="G555" s="309"/>
      <c r="H555" s="309"/>
      <c r="I555" s="309"/>
    </row>
    <row r="556">
      <c r="D556" s="309"/>
      <c r="E556" s="309"/>
      <c r="F556" s="309"/>
      <c r="G556" s="309"/>
      <c r="H556" s="309"/>
      <c r="I556" s="309"/>
    </row>
    <row r="557">
      <c r="D557" s="309"/>
      <c r="E557" s="309"/>
      <c r="F557" s="309"/>
      <c r="G557" s="309"/>
      <c r="H557" s="309"/>
      <c r="I557" s="309"/>
    </row>
    <row r="558">
      <c r="D558" s="309"/>
      <c r="E558" s="309"/>
      <c r="F558" s="309"/>
      <c r="G558" s="309"/>
      <c r="H558" s="309"/>
      <c r="I558" s="309"/>
    </row>
    <row r="559">
      <c r="D559" s="309"/>
      <c r="E559" s="309"/>
      <c r="F559" s="309"/>
      <c r="G559" s="309"/>
      <c r="H559" s="309"/>
      <c r="I559" s="309"/>
    </row>
    <row r="560">
      <c r="D560" s="309"/>
      <c r="E560" s="309"/>
      <c r="F560" s="309"/>
      <c r="G560" s="309"/>
      <c r="H560" s="309"/>
      <c r="I560" s="309"/>
    </row>
    <row r="561">
      <c r="D561" s="309"/>
      <c r="E561" s="309"/>
      <c r="F561" s="309"/>
      <c r="G561" s="309"/>
      <c r="H561" s="309"/>
      <c r="I561" s="309"/>
    </row>
    <row r="562">
      <c r="D562" s="309"/>
      <c r="E562" s="309"/>
      <c r="F562" s="309"/>
      <c r="G562" s="309"/>
      <c r="H562" s="309"/>
      <c r="I562" s="309"/>
    </row>
    <row r="563">
      <c r="D563" s="309"/>
      <c r="E563" s="309"/>
      <c r="F563" s="309"/>
      <c r="G563" s="309"/>
      <c r="H563" s="309"/>
      <c r="I563" s="309"/>
    </row>
    <row r="564">
      <c r="D564" s="309"/>
      <c r="E564" s="309"/>
      <c r="F564" s="309"/>
      <c r="G564" s="309"/>
      <c r="H564" s="309"/>
      <c r="I564" s="309"/>
    </row>
    <row r="565">
      <c r="D565" s="309"/>
      <c r="E565" s="309"/>
      <c r="F565" s="309"/>
      <c r="G565" s="309"/>
      <c r="H565" s="309"/>
      <c r="I565" s="309"/>
    </row>
    <row r="566">
      <c r="D566" s="309"/>
      <c r="E566" s="309"/>
      <c r="F566" s="309"/>
      <c r="G566" s="309"/>
      <c r="H566" s="309"/>
      <c r="I566" s="309"/>
    </row>
    <row r="567">
      <c r="D567" s="309"/>
      <c r="E567" s="309"/>
      <c r="F567" s="309"/>
      <c r="G567" s="309"/>
      <c r="H567" s="309"/>
      <c r="I567" s="309"/>
    </row>
    <row r="568">
      <c r="D568" s="309"/>
      <c r="E568" s="309"/>
      <c r="F568" s="309"/>
      <c r="G568" s="309"/>
      <c r="H568" s="309"/>
      <c r="I568" s="309"/>
    </row>
    <row r="569">
      <c r="D569" s="309"/>
      <c r="E569" s="309"/>
      <c r="F569" s="309"/>
      <c r="G569" s="309"/>
      <c r="H569" s="309"/>
      <c r="I569" s="309"/>
    </row>
    <row r="570">
      <c r="D570" s="309"/>
      <c r="E570" s="309"/>
      <c r="F570" s="309"/>
      <c r="G570" s="309"/>
      <c r="H570" s="309"/>
      <c r="I570" s="309"/>
    </row>
    <row r="571">
      <c r="D571" s="309"/>
      <c r="E571" s="309"/>
      <c r="F571" s="309"/>
      <c r="G571" s="309"/>
      <c r="H571" s="309"/>
      <c r="I571" s="309"/>
    </row>
    <row r="572">
      <c r="D572" s="309"/>
      <c r="E572" s="309"/>
      <c r="F572" s="309"/>
      <c r="G572" s="309"/>
      <c r="H572" s="309"/>
      <c r="I572" s="309"/>
    </row>
    <row r="573">
      <c r="D573" s="309"/>
      <c r="E573" s="309"/>
      <c r="F573" s="309"/>
      <c r="G573" s="309"/>
      <c r="H573" s="309"/>
      <c r="I573" s="309"/>
    </row>
    <row r="574">
      <c r="D574" s="309"/>
      <c r="E574" s="309"/>
      <c r="F574" s="309"/>
      <c r="G574" s="309"/>
      <c r="H574" s="309"/>
      <c r="I574" s="309"/>
    </row>
    <row r="575">
      <c r="D575" s="309"/>
      <c r="E575" s="309"/>
      <c r="F575" s="309"/>
      <c r="G575" s="309"/>
      <c r="H575" s="309"/>
      <c r="I575" s="309"/>
    </row>
    <row r="576">
      <c r="D576" s="309"/>
      <c r="E576" s="309"/>
      <c r="F576" s="309"/>
      <c r="G576" s="309"/>
      <c r="H576" s="309"/>
      <c r="I576" s="309"/>
    </row>
    <row r="577">
      <c r="D577" s="309"/>
      <c r="E577" s="309"/>
      <c r="F577" s="309"/>
      <c r="G577" s="309"/>
      <c r="H577" s="309"/>
      <c r="I577" s="309"/>
    </row>
    <row r="578">
      <c r="D578" s="309"/>
      <c r="E578" s="309"/>
      <c r="F578" s="309"/>
      <c r="G578" s="309"/>
      <c r="H578" s="309"/>
      <c r="I578" s="309"/>
    </row>
    <row r="579">
      <c r="D579" s="309"/>
      <c r="E579" s="309"/>
      <c r="F579" s="309"/>
      <c r="G579" s="309"/>
      <c r="H579" s="309"/>
      <c r="I579" s="309"/>
    </row>
    <row r="580">
      <c r="D580" s="309"/>
      <c r="E580" s="309"/>
      <c r="F580" s="309"/>
      <c r="G580" s="309"/>
      <c r="H580" s="309"/>
      <c r="I580" s="309"/>
    </row>
    <row r="581">
      <c r="D581" s="309"/>
      <c r="E581" s="309"/>
      <c r="F581" s="309"/>
      <c r="G581" s="309"/>
      <c r="H581" s="309"/>
      <c r="I581" s="309"/>
    </row>
    <row r="582">
      <c r="D582" s="309"/>
      <c r="E582" s="309"/>
      <c r="F582" s="309"/>
      <c r="G582" s="309"/>
      <c r="H582" s="309"/>
      <c r="I582" s="309"/>
    </row>
    <row r="583">
      <c r="D583" s="309"/>
      <c r="E583" s="309"/>
      <c r="F583" s="309"/>
      <c r="G583" s="309"/>
      <c r="H583" s="309"/>
      <c r="I583" s="309"/>
    </row>
    <row r="584">
      <c r="D584" s="309"/>
      <c r="E584" s="309"/>
      <c r="F584" s="309"/>
      <c r="G584" s="309"/>
      <c r="H584" s="309"/>
      <c r="I584" s="309"/>
    </row>
    <row r="585">
      <c r="D585" s="309"/>
      <c r="E585" s="309"/>
      <c r="F585" s="309"/>
      <c r="G585" s="309"/>
      <c r="H585" s="309"/>
      <c r="I585" s="309"/>
    </row>
    <row r="586">
      <c r="D586" s="309"/>
      <c r="E586" s="309"/>
      <c r="F586" s="309"/>
      <c r="G586" s="309"/>
      <c r="H586" s="309"/>
      <c r="I586" s="309"/>
    </row>
    <row r="587">
      <c r="D587" s="309"/>
      <c r="E587" s="309"/>
      <c r="F587" s="309"/>
      <c r="G587" s="309"/>
      <c r="H587" s="309"/>
      <c r="I587" s="309"/>
    </row>
    <row r="588">
      <c r="D588" s="309"/>
      <c r="E588" s="309"/>
      <c r="F588" s="309"/>
      <c r="G588" s="309"/>
      <c r="H588" s="309"/>
      <c r="I588" s="309"/>
    </row>
    <row r="589">
      <c r="D589" s="309"/>
      <c r="E589" s="309"/>
      <c r="F589" s="309"/>
      <c r="G589" s="309"/>
      <c r="H589" s="309"/>
      <c r="I589" s="309"/>
    </row>
    <row r="590">
      <c r="D590" s="309"/>
      <c r="E590" s="309"/>
      <c r="F590" s="309"/>
      <c r="G590" s="309"/>
      <c r="H590" s="309"/>
      <c r="I590" s="309"/>
    </row>
    <row r="591">
      <c r="D591" s="309"/>
      <c r="E591" s="309"/>
      <c r="F591" s="309"/>
      <c r="G591" s="309"/>
      <c r="H591" s="309"/>
      <c r="I591" s="309"/>
    </row>
    <row r="592">
      <c r="D592" s="309"/>
      <c r="E592" s="309"/>
      <c r="F592" s="309"/>
      <c r="G592" s="309"/>
      <c r="H592" s="309"/>
      <c r="I592" s="309"/>
    </row>
    <row r="593">
      <c r="D593" s="309"/>
      <c r="E593" s="309"/>
      <c r="F593" s="309"/>
      <c r="G593" s="309"/>
      <c r="H593" s="309"/>
      <c r="I593" s="309"/>
    </row>
    <row r="594">
      <c r="D594" s="309"/>
      <c r="E594" s="309"/>
      <c r="F594" s="309"/>
      <c r="G594" s="309"/>
      <c r="H594" s="309"/>
      <c r="I594" s="309"/>
    </row>
    <row r="595">
      <c r="D595" s="309"/>
      <c r="E595" s="309"/>
      <c r="F595" s="309"/>
      <c r="G595" s="309"/>
      <c r="H595" s="309"/>
      <c r="I595" s="309"/>
    </row>
    <row r="596">
      <c r="D596" s="309"/>
      <c r="E596" s="309"/>
      <c r="F596" s="309"/>
      <c r="G596" s="309"/>
      <c r="H596" s="309"/>
      <c r="I596" s="309"/>
    </row>
    <row r="597">
      <c r="D597" s="309"/>
      <c r="E597" s="309"/>
      <c r="F597" s="309"/>
      <c r="G597" s="309"/>
      <c r="H597" s="309"/>
      <c r="I597" s="309"/>
    </row>
    <row r="598">
      <c r="D598" s="309"/>
      <c r="E598" s="309"/>
      <c r="F598" s="309"/>
      <c r="G598" s="309"/>
      <c r="H598" s="309"/>
      <c r="I598" s="309"/>
    </row>
    <row r="599">
      <c r="D599" s="309"/>
      <c r="E599" s="309"/>
      <c r="F599" s="309"/>
      <c r="G599" s="309"/>
      <c r="H599" s="309"/>
      <c r="I599" s="309"/>
    </row>
    <row r="600">
      <c r="D600" s="309"/>
      <c r="E600" s="309"/>
      <c r="F600" s="309"/>
      <c r="G600" s="309"/>
      <c r="H600" s="309"/>
      <c r="I600" s="309"/>
    </row>
    <row r="601">
      <c r="D601" s="309"/>
      <c r="E601" s="309"/>
      <c r="F601" s="309"/>
      <c r="G601" s="309"/>
      <c r="H601" s="309"/>
      <c r="I601" s="309"/>
    </row>
    <row r="602">
      <c r="D602" s="309"/>
      <c r="E602" s="309"/>
      <c r="F602" s="309"/>
      <c r="G602" s="309"/>
      <c r="H602" s="309"/>
      <c r="I602" s="309"/>
    </row>
    <row r="603">
      <c r="D603" s="309"/>
      <c r="E603" s="309"/>
      <c r="F603" s="309"/>
      <c r="G603" s="309"/>
      <c r="H603" s="309"/>
      <c r="I603" s="309"/>
    </row>
    <row r="604">
      <c r="D604" s="309"/>
      <c r="E604" s="309"/>
      <c r="F604" s="309"/>
      <c r="G604" s="309"/>
      <c r="H604" s="309"/>
      <c r="I604" s="309"/>
    </row>
    <row r="605">
      <c r="D605" s="309"/>
      <c r="E605" s="309"/>
      <c r="F605" s="309"/>
      <c r="G605" s="309"/>
      <c r="H605" s="309"/>
      <c r="I605" s="309"/>
    </row>
    <row r="606">
      <c r="D606" s="309"/>
      <c r="E606" s="309"/>
      <c r="F606" s="309"/>
      <c r="G606" s="309"/>
      <c r="H606" s="309"/>
      <c r="I606" s="309"/>
    </row>
    <row r="607">
      <c r="D607" s="309"/>
      <c r="E607" s="309"/>
      <c r="F607" s="309"/>
      <c r="G607" s="309"/>
      <c r="H607" s="309"/>
      <c r="I607" s="309"/>
    </row>
    <row r="608">
      <c r="D608" s="309"/>
      <c r="E608" s="309"/>
      <c r="F608" s="309"/>
      <c r="G608" s="309"/>
      <c r="H608" s="309"/>
      <c r="I608" s="309"/>
    </row>
    <row r="609">
      <c r="D609" s="309"/>
      <c r="E609" s="309"/>
      <c r="F609" s="309"/>
      <c r="G609" s="309"/>
      <c r="H609" s="309"/>
      <c r="I609" s="309"/>
    </row>
    <row r="610">
      <c r="D610" s="309"/>
      <c r="E610" s="309"/>
      <c r="F610" s="309"/>
      <c r="G610" s="309"/>
      <c r="H610" s="309"/>
      <c r="I610" s="309"/>
    </row>
    <row r="611">
      <c r="D611" s="309"/>
      <c r="E611" s="309"/>
      <c r="F611" s="309"/>
      <c r="G611" s="309"/>
      <c r="H611" s="309"/>
      <c r="I611" s="309"/>
    </row>
    <row r="612">
      <c r="D612" s="309"/>
      <c r="E612" s="309"/>
      <c r="F612" s="309"/>
      <c r="G612" s="309"/>
      <c r="H612" s="309"/>
      <c r="I612" s="309"/>
    </row>
    <row r="613">
      <c r="D613" s="309"/>
      <c r="E613" s="309"/>
      <c r="F613" s="309"/>
      <c r="G613" s="309"/>
      <c r="H613" s="309"/>
      <c r="I613" s="309"/>
    </row>
    <row r="614">
      <c r="D614" s="309"/>
      <c r="E614" s="309"/>
      <c r="F614" s="309"/>
      <c r="G614" s="309"/>
      <c r="H614" s="309"/>
      <c r="I614" s="309"/>
    </row>
    <row r="615">
      <c r="D615" s="309"/>
      <c r="E615" s="309"/>
      <c r="F615" s="309"/>
      <c r="G615" s="309"/>
      <c r="H615" s="309"/>
      <c r="I615" s="309"/>
    </row>
    <row r="616">
      <c r="D616" s="309"/>
      <c r="E616" s="309"/>
      <c r="F616" s="309"/>
      <c r="G616" s="309"/>
      <c r="H616" s="309"/>
      <c r="I616" s="309"/>
    </row>
    <row r="617">
      <c r="D617" s="309"/>
      <c r="E617" s="309"/>
      <c r="F617" s="309"/>
      <c r="G617" s="309"/>
      <c r="H617" s="309"/>
      <c r="I617" s="309"/>
    </row>
    <row r="618">
      <c r="D618" s="309"/>
      <c r="E618" s="309"/>
      <c r="F618" s="309"/>
      <c r="G618" s="309"/>
      <c r="H618" s="309"/>
      <c r="I618" s="309"/>
    </row>
    <row r="619">
      <c r="D619" s="309"/>
      <c r="E619" s="309"/>
      <c r="F619" s="309"/>
      <c r="G619" s="309"/>
      <c r="H619" s="309"/>
      <c r="I619" s="309"/>
    </row>
    <row r="620">
      <c r="D620" s="309"/>
      <c r="E620" s="309"/>
      <c r="F620" s="309"/>
      <c r="G620" s="309"/>
      <c r="H620" s="309"/>
      <c r="I620" s="309"/>
    </row>
    <row r="621">
      <c r="D621" s="309"/>
      <c r="E621" s="309"/>
      <c r="F621" s="309"/>
      <c r="G621" s="309"/>
      <c r="H621" s="309"/>
      <c r="I621" s="309"/>
    </row>
    <row r="622">
      <c r="D622" s="309"/>
      <c r="E622" s="309"/>
      <c r="F622" s="309"/>
      <c r="G622" s="309"/>
      <c r="H622" s="309"/>
      <c r="I622" s="309"/>
    </row>
    <row r="623">
      <c r="D623" s="309"/>
      <c r="E623" s="309"/>
      <c r="F623" s="309"/>
      <c r="G623" s="309"/>
      <c r="H623" s="309"/>
      <c r="I623" s="309"/>
    </row>
    <row r="624">
      <c r="D624" s="309"/>
      <c r="E624" s="309"/>
      <c r="F624" s="309"/>
      <c r="G624" s="309"/>
      <c r="H624" s="309"/>
      <c r="I624" s="309"/>
    </row>
    <row r="625">
      <c r="D625" s="309"/>
      <c r="E625" s="309"/>
      <c r="F625" s="309"/>
      <c r="G625" s="309"/>
      <c r="H625" s="309"/>
      <c r="I625" s="309"/>
    </row>
    <row r="626">
      <c r="D626" s="309"/>
      <c r="E626" s="309"/>
      <c r="F626" s="309"/>
      <c r="G626" s="309"/>
      <c r="H626" s="309"/>
      <c r="I626" s="309"/>
    </row>
    <row r="627">
      <c r="D627" s="309"/>
      <c r="E627" s="309"/>
      <c r="F627" s="309"/>
      <c r="G627" s="309"/>
      <c r="H627" s="309"/>
      <c r="I627" s="309"/>
    </row>
    <row r="628">
      <c r="D628" s="309"/>
      <c r="E628" s="309"/>
      <c r="F628" s="309"/>
      <c r="G628" s="309"/>
      <c r="H628" s="309"/>
      <c r="I628" s="309"/>
    </row>
    <row r="629">
      <c r="D629" s="309"/>
      <c r="E629" s="309"/>
      <c r="F629" s="309"/>
      <c r="G629" s="309"/>
      <c r="H629" s="309"/>
      <c r="I629" s="309"/>
    </row>
    <row r="630">
      <c r="D630" s="309"/>
      <c r="E630" s="309"/>
      <c r="F630" s="309"/>
      <c r="G630" s="309"/>
      <c r="H630" s="309"/>
      <c r="I630" s="309"/>
    </row>
    <row r="631">
      <c r="D631" s="309"/>
      <c r="E631" s="309"/>
      <c r="F631" s="309"/>
      <c r="G631" s="309"/>
      <c r="H631" s="309"/>
      <c r="I631" s="309"/>
    </row>
    <row r="632">
      <c r="D632" s="309"/>
      <c r="E632" s="309"/>
      <c r="F632" s="309"/>
      <c r="G632" s="309"/>
      <c r="H632" s="309"/>
      <c r="I632" s="309"/>
    </row>
    <row r="633">
      <c r="D633" s="309"/>
      <c r="E633" s="309"/>
      <c r="F633" s="309"/>
      <c r="G633" s="309"/>
      <c r="H633" s="309"/>
      <c r="I633" s="309"/>
    </row>
    <row r="634">
      <c r="D634" s="309"/>
      <c r="E634" s="309"/>
      <c r="F634" s="309"/>
      <c r="G634" s="309"/>
      <c r="H634" s="309"/>
      <c r="I634" s="309"/>
    </row>
    <row r="635">
      <c r="D635" s="309"/>
      <c r="E635" s="309"/>
      <c r="F635" s="309"/>
      <c r="G635" s="309"/>
      <c r="H635" s="309"/>
      <c r="I635" s="309"/>
    </row>
    <row r="636">
      <c r="D636" s="309"/>
      <c r="E636" s="309"/>
      <c r="F636" s="309"/>
      <c r="G636" s="309"/>
      <c r="H636" s="309"/>
      <c r="I636" s="309"/>
    </row>
    <row r="637">
      <c r="D637" s="309"/>
      <c r="E637" s="309"/>
      <c r="F637" s="309"/>
      <c r="G637" s="309"/>
      <c r="H637" s="309"/>
      <c r="I637" s="309"/>
    </row>
    <row r="638">
      <c r="D638" s="309"/>
      <c r="E638" s="309"/>
      <c r="F638" s="309"/>
      <c r="G638" s="309"/>
      <c r="H638" s="309"/>
      <c r="I638" s="309"/>
    </row>
    <row r="639">
      <c r="D639" s="309"/>
      <c r="E639" s="309"/>
      <c r="F639" s="309"/>
      <c r="G639" s="309"/>
      <c r="H639" s="309"/>
      <c r="I639" s="309"/>
    </row>
    <row r="640">
      <c r="D640" s="309"/>
      <c r="E640" s="309"/>
      <c r="F640" s="309"/>
      <c r="G640" s="309"/>
      <c r="H640" s="309"/>
      <c r="I640" s="309"/>
    </row>
    <row r="641">
      <c r="D641" s="309"/>
      <c r="E641" s="309"/>
      <c r="F641" s="309"/>
      <c r="G641" s="309"/>
      <c r="H641" s="309"/>
      <c r="I641" s="309"/>
    </row>
    <row r="642">
      <c r="D642" s="309"/>
      <c r="E642" s="309"/>
      <c r="F642" s="309"/>
      <c r="G642" s="309"/>
      <c r="H642" s="309"/>
      <c r="I642" s="309"/>
    </row>
    <row r="643">
      <c r="D643" s="309"/>
      <c r="E643" s="309"/>
      <c r="F643" s="309"/>
      <c r="G643" s="309"/>
      <c r="H643" s="309"/>
      <c r="I643" s="309"/>
    </row>
    <row r="644">
      <c r="D644" s="309"/>
      <c r="E644" s="309"/>
      <c r="F644" s="309"/>
      <c r="G644" s="309"/>
      <c r="H644" s="309"/>
      <c r="I644" s="309"/>
    </row>
    <row r="645">
      <c r="D645" s="309"/>
      <c r="E645" s="309"/>
      <c r="F645" s="309"/>
      <c r="G645" s="309"/>
      <c r="H645" s="309"/>
      <c r="I645" s="309"/>
    </row>
    <row r="646">
      <c r="D646" s="309"/>
      <c r="E646" s="309"/>
      <c r="F646" s="309"/>
      <c r="G646" s="309"/>
      <c r="H646" s="309"/>
      <c r="I646" s="309"/>
    </row>
    <row r="647">
      <c r="D647" s="309"/>
      <c r="E647" s="309"/>
      <c r="F647" s="309"/>
      <c r="G647" s="309"/>
      <c r="H647" s="309"/>
      <c r="I647" s="309"/>
    </row>
    <row r="648">
      <c r="D648" s="309"/>
      <c r="E648" s="309"/>
      <c r="F648" s="309"/>
      <c r="G648" s="309"/>
      <c r="H648" s="309"/>
      <c r="I648" s="309"/>
    </row>
    <row r="649">
      <c r="D649" s="309"/>
      <c r="E649" s="309"/>
      <c r="F649" s="309"/>
      <c r="G649" s="309"/>
      <c r="H649" s="309"/>
      <c r="I649" s="309"/>
    </row>
    <row r="650">
      <c r="D650" s="309"/>
      <c r="E650" s="309"/>
      <c r="F650" s="309"/>
      <c r="G650" s="309"/>
      <c r="H650" s="309"/>
      <c r="I650" s="309"/>
    </row>
    <row r="651">
      <c r="D651" s="309"/>
      <c r="E651" s="309"/>
      <c r="F651" s="309"/>
      <c r="G651" s="309"/>
      <c r="H651" s="309"/>
      <c r="I651" s="309"/>
    </row>
    <row r="652">
      <c r="D652" s="309"/>
      <c r="E652" s="309"/>
      <c r="F652" s="309"/>
      <c r="G652" s="309"/>
      <c r="H652" s="309"/>
      <c r="I652" s="309"/>
    </row>
    <row r="653">
      <c r="D653" s="309"/>
      <c r="E653" s="309"/>
      <c r="F653" s="309"/>
      <c r="G653" s="309"/>
      <c r="H653" s="309"/>
      <c r="I653" s="309"/>
    </row>
    <row r="654">
      <c r="D654" s="309"/>
      <c r="E654" s="309"/>
      <c r="F654" s="309"/>
      <c r="G654" s="309"/>
      <c r="H654" s="309"/>
      <c r="I654" s="309"/>
    </row>
    <row r="655">
      <c r="D655" s="309"/>
      <c r="E655" s="309"/>
      <c r="F655" s="309"/>
      <c r="G655" s="309"/>
      <c r="H655" s="309"/>
      <c r="I655" s="309"/>
    </row>
    <row r="656">
      <c r="D656" s="309"/>
      <c r="E656" s="309"/>
      <c r="F656" s="309"/>
      <c r="G656" s="309"/>
      <c r="H656" s="309"/>
      <c r="I656" s="309"/>
    </row>
    <row r="657">
      <c r="D657" s="309"/>
      <c r="E657" s="309"/>
      <c r="F657" s="309"/>
      <c r="G657" s="309"/>
      <c r="H657" s="309"/>
      <c r="I657" s="309"/>
    </row>
    <row r="658">
      <c r="D658" s="309"/>
      <c r="E658" s="309"/>
      <c r="F658" s="309"/>
      <c r="G658" s="309"/>
      <c r="H658" s="309"/>
      <c r="I658" s="309"/>
    </row>
    <row r="659">
      <c r="D659" s="309"/>
      <c r="E659" s="309"/>
      <c r="F659" s="309"/>
      <c r="G659" s="309"/>
      <c r="H659" s="309"/>
      <c r="I659" s="309"/>
    </row>
    <row r="660">
      <c r="D660" s="309"/>
      <c r="E660" s="309"/>
      <c r="F660" s="309"/>
      <c r="G660" s="309"/>
      <c r="H660" s="309"/>
      <c r="I660" s="309"/>
    </row>
    <row r="661">
      <c r="D661" s="309"/>
      <c r="E661" s="309"/>
      <c r="F661" s="309"/>
      <c r="G661" s="309"/>
      <c r="H661" s="309"/>
      <c r="I661" s="309"/>
    </row>
    <row r="662">
      <c r="D662" s="309"/>
      <c r="E662" s="309"/>
      <c r="F662" s="309"/>
      <c r="G662" s="309"/>
      <c r="H662" s="309"/>
      <c r="I662" s="309"/>
    </row>
    <row r="663">
      <c r="D663" s="309"/>
      <c r="E663" s="309"/>
      <c r="F663" s="309"/>
      <c r="G663" s="309"/>
      <c r="H663" s="309"/>
      <c r="I663" s="309"/>
    </row>
    <row r="664">
      <c r="D664" s="309"/>
      <c r="E664" s="309"/>
      <c r="F664" s="309"/>
      <c r="G664" s="309"/>
      <c r="H664" s="309"/>
      <c r="I664" s="309"/>
    </row>
    <row r="665">
      <c r="D665" s="309"/>
      <c r="E665" s="309"/>
      <c r="F665" s="309"/>
      <c r="G665" s="309"/>
      <c r="H665" s="309"/>
      <c r="I665" s="309"/>
    </row>
    <row r="666">
      <c r="D666" s="309"/>
      <c r="E666" s="309"/>
      <c r="F666" s="309"/>
      <c r="G666" s="309"/>
      <c r="H666" s="309"/>
      <c r="I666" s="309"/>
    </row>
    <row r="667">
      <c r="D667" s="309"/>
      <c r="E667" s="309"/>
      <c r="F667" s="309"/>
      <c r="G667" s="309"/>
      <c r="H667" s="309"/>
      <c r="I667" s="309"/>
    </row>
    <row r="668">
      <c r="D668" s="309"/>
      <c r="E668" s="309"/>
      <c r="F668" s="309"/>
      <c r="G668" s="309"/>
      <c r="H668" s="309"/>
      <c r="I668" s="309"/>
    </row>
    <row r="669">
      <c r="D669" s="309"/>
      <c r="E669" s="309"/>
      <c r="F669" s="309"/>
      <c r="G669" s="309"/>
      <c r="H669" s="309"/>
      <c r="I669" s="309"/>
    </row>
    <row r="670">
      <c r="D670" s="309"/>
      <c r="E670" s="309"/>
      <c r="F670" s="309"/>
      <c r="G670" s="309"/>
      <c r="H670" s="309"/>
      <c r="I670" s="309"/>
    </row>
    <row r="671">
      <c r="D671" s="309"/>
      <c r="E671" s="309"/>
      <c r="F671" s="309"/>
      <c r="G671" s="309"/>
      <c r="H671" s="309"/>
      <c r="I671" s="309"/>
    </row>
    <row r="672">
      <c r="D672" s="309"/>
      <c r="E672" s="309"/>
      <c r="F672" s="309"/>
      <c r="G672" s="309"/>
      <c r="H672" s="309"/>
      <c r="I672" s="309"/>
    </row>
    <row r="673">
      <c r="D673" s="309"/>
      <c r="E673" s="309"/>
      <c r="F673" s="309"/>
      <c r="G673" s="309"/>
      <c r="H673" s="309"/>
      <c r="I673" s="309"/>
    </row>
    <row r="674">
      <c r="D674" s="309"/>
      <c r="E674" s="309"/>
      <c r="F674" s="309"/>
      <c r="G674" s="309"/>
      <c r="H674" s="309"/>
      <c r="I674" s="309"/>
    </row>
    <row r="675">
      <c r="D675" s="309"/>
      <c r="E675" s="309"/>
      <c r="F675" s="309"/>
      <c r="G675" s="309"/>
      <c r="H675" s="309"/>
      <c r="I675" s="309"/>
    </row>
    <row r="676">
      <c r="D676" s="309"/>
      <c r="E676" s="309"/>
      <c r="F676" s="309"/>
      <c r="G676" s="309"/>
      <c r="H676" s="309"/>
      <c r="I676" s="309"/>
    </row>
    <row r="677">
      <c r="D677" s="309"/>
      <c r="E677" s="309"/>
      <c r="F677" s="309"/>
      <c r="G677" s="309"/>
      <c r="H677" s="309"/>
      <c r="I677" s="309"/>
    </row>
    <row r="678">
      <c r="D678" s="309"/>
      <c r="E678" s="309"/>
      <c r="F678" s="309"/>
      <c r="G678" s="309"/>
      <c r="H678" s="309"/>
      <c r="I678" s="309"/>
    </row>
    <row r="679">
      <c r="D679" s="309"/>
      <c r="E679" s="309"/>
      <c r="F679" s="309"/>
      <c r="G679" s="309"/>
      <c r="H679" s="309"/>
      <c r="I679" s="309"/>
    </row>
    <row r="680">
      <c r="D680" s="309"/>
      <c r="E680" s="309"/>
      <c r="F680" s="309"/>
      <c r="G680" s="309"/>
      <c r="H680" s="309"/>
      <c r="I680" s="309"/>
    </row>
    <row r="681">
      <c r="D681" s="309"/>
      <c r="E681" s="309"/>
      <c r="F681" s="309"/>
      <c r="G681" s="309"/>
      <c r="H681" s="309"/>
      <c r="I681" s="309"/>
    </row>
    <row r="682">
      <c r="D682" s="309"/>
      <c r="E682" s="309"/>
      <c r="F682" s="309"/>
      <c r="G682" s="309"/>
      <c r="H682" s="309"/>
      <c r="I682" s="309"/>
    </row>
    <row r="683">
      <c r="D683" s="309"/>
      <c r="E683" s="309"/>
      <c r="F683" s="309"/>
      <c r="G683" s="309"/>
      <c r="H683" s="309"/>
      <c r="I683" s="309"/>
    </row>
    <row r="684">
      <c r="D684" s="309"/>
      <c r="E684" s="309"/>
      <c r="F684" s="309"/>
      <c r="G684" s="309"/>
      <c r="H684" s="309"/>
      <c r="I684" s="309"/>
    </row>
    <row r="685">
      <c r="D685" s="309"/>
      <c r="E685" s="309"/>
      <c r="F685" s="309"/>
      <c r="G685" s="309"/>
      <c r="H685" s="309"/>
      <c r="I685" s="309"/>
    </row>
    <row r="686">
      <c r="D686" s="309"/>
      <c r="E686" s="309"/>
      <c r="F686" s="309"/>
      <c r="G686" s="309"/>
      <c r="H686" s="309"/>
      <c r="I686" s="309"/>
    </row>
    <row r="687">
      <c r="D687" s="309"/>
      <c r="E687" s="309"/>
      <c r="F687" s="309"/>
      <c r="G687" s="309"/>
      <c r="H687" s="309"/>
      <c r="I687" s="309"/>
    </row>
    <row r="688">
      <c r="D688" s="309"/>
      <c r="E688" s="309"/>
      <c r="F688" s="309"/>
      <c r="G688" s="309"/>
      <c r="H688" s="309"/>
      <c r="I688" s="309"/>
    </row>
    <row r="689">
      <c r="D689" s="309"/>
      <c r="E689" s="309"/>
      <c r="F689" s="309"/>
      <c r="G689" s="309"/>
      <c r="H689" s="309"/>
      <c r="I689" s="309"/>
    </row>
    <row r="690">
      <c r="D690" s="309"/>
      <c r="E690" s="309"/>
      <c r="F690" s="309"/>
      <c r="G690" s="309"/>
      <c r="H690" s="309"/>
      <c r="I690" s="309"/>
    </row>
    <row r="691">
      <c r="D691" s="309"/>
      <c r="E691" s="309"/>
      <c r="F691" s="309"/>
      <c r="G691" s="309"/>
      <c r="H691" s="309"/>
      <c r="I691" s="309"/>
    </row>
    <row r="692">
      <c r="D692" s="309"/>
      <c r="E692" s="309"/>
      <c r="F692" s="309"/>
      <c r="G692" s="309"/>
      <c r="H692" s="309"/>
      <c r="I692" s="309"/>
    </row>
    <row r="693">
      <c r="D693" s="309"/>
      <c r="E693" s="309"/>
      <c r="F693" s="309"/>
      <c r="G693" s="309"/>
      <c r="H693" s="309"/>
      <c r="I693" s="309"/>
    </row>
    <row r="694">
      <c r="D694" s="309"/>
      <c r="E694" s="309"/>
      <c r="F694" s="309"/>
      <c r="G694" s="309"/>
      <c r="H694" s="309"/>
      <c r="I694" s="309"/>
    </row>
    <row r="695">
      <c r="D695" s="309"/>
      <c r="E695" s="309"/>
      <c r="F695" s="309"/>
      <c r="G695" s="309"/>
      <c r="H695" s="309"/>
      <c r="I695" s="309"/>
    </row>
    <row r="696">
      <c r="D696" s="309"/>
      <c r="E696" s="309"/>
      <c r="F696" s="309"/>
      <c r="G696" s="309"/>
      <c r="H696" s="309"/>
      <c r="I696" s="309"/>
    </row>
    <row r="697">
      <c r="D697" s="309"/>
      <c r="E697" s="309"/>
      <c r="F697" s="309"/>
      <c r="G697" s="309"/>
      <c r="H697" s="309"/>
      <c r="I697" s="309"/>
    </row>
    <row r="698">
      <c r="D698" s="309"/>
      <c r="E698" s="309"/>
      <c r="F698" s="309"/>
      <c r="G698" s="309"/>
      <c r="H698" s="309"/>
      <c r="I698" s="309"/>
    </row>
    <row r="699">
      <c r="D699" s="309"/>
      <c r="E699" s="309"/>
      <c r="F699" s="309"/>
      <c r="G699" s="309"/>
      <c r="H699" s="309"/>
      <c r="I699" s="309"/>
    </row>
    <row r="700">
      <c r="D700" s="309"/>
      <c r="E700" s="309"/>
      <c r="F700" s="309"/>
      <c r="G700" s="309"/>
      <c r="H700" s="309"/>
      <c r="I700" s="309"/>
    </row>
    <row r="701">
      <c r="D701" s="309"/>
      <c r="E701" s="309"/>
      <c r="F701" s="309"/>
      <c r="G701" s="309"/>
      <c r="H701" s="309"/>
      <c r="I701" s="309"/>
    </row>
    <row r="702">
      <c r="D702" s="309"/>
      <c r="E702" s="309"/>
      <c r="F702" s="309"/>
      <c r="G702" s="309"/>
      <c r="H702" s="309"/>
      <c r="I702" s="309"/>
    </row>
    <row r="703">
      <c r="D703" s="309"/>
      <c r="E703" s="309"/>
      <c r="F703" s="309"/>
      <c r="G703" s="309"/>
      <c r="H703" s="309"/>
      <c r="I703" s="309"/>
    </row>
    <row r="704">
      <c r="D704" s="309"/>
      <c r="E704" s="309"/>
      <c r="F704" s="309"/>
      <c r="G704" s="309"/>
      <c r="H704" s="309"/>
      <c r="I704" s="309"/>
    </row>
    <row r="705">
      <c r="D705" s="309"/>
      <c r="E705" s="309"/>
      <c r="F705" s="309"/>
      <c r="G705" s="309"/>
      <c r="H705" s="309"/>
      <c r="I705" s="309"/>
    </row>
    <row r="706">
      <c r="D706" s="309"/>
      <c r="E706" s="309"/>
      <c r="F706" s="309"/>
      <c r="G706" s="309"/>
      <c r="H706" s="309"/>
      <c r="I706" s="309"/>
    </row>
    <row r="707">
      <c r="D707" s="309"/>
      <c r="E707" s="309"/>
      <c r="F707" s="309"/>
      <c r="G707" s="309"/>
      <c r="H707" s="309"/>
      <c r="I707" s="309"/>
    </row>
    <row r="708">
      <c r="D708" s="309"/>
      <c r="E708" s="309"/>
      <c r="F708" s="309"/>
      <c r="G708" s="309"/>
      <c r="H708" s="309"/>
      <c r="I708" s="309"/>
    </row>
    <row r="709">
      <c r="D709" s="309"/>
      <c r="E709" s="309"/>
      <c r="F709" s="309"/>
      <c r="G709" s="309"/>
      <c r="H709" s="309"/>
      <c r="I709" s="309"/>
    </row>
    <row r="710">
      <c r="D710" s="309"/>
      <c r="E710" s="309"/>
      <c r="F710" s="309"/>
      <c r="G710" s="309"/>
      <c r="H710" s="309"/>
      <c r="I710" s="309"/>
    </row>
    <row r="711">
      <c r="D711" s="309"/>
      <c r="E711" s="309"/>
      <c r="F711" s="309"/>
      <c r="G711" s="309"/>
      <c r="H711" s="309"/>
      <c r="I711" s="309"/>
    </row>
    <row r="712">
      <c r="D712" s="309"/>
      <c r="E712" s="309"/>
      <c r="F712" s="309"/>
      <c r="G712" s="309"/>
      <c r="H712" s="309"/>
      <c r="I712" s="309"/>
    </row>
    <row r="713">
      <c r="D713" s="309"/>
      <c r="E713" s="309"/>
      <c r="F713" s="309"/>
      <c r="G713" s="309"/>
      <c r="H713" s="309"/>
      <c r="I713" s="309"/>
    </row>
    <row r="714">
      <c r="D714" s="309"/>
      <c r="E714" s="309"/>
      <c r="F714" s="309"/>
      <c r="G714" s="309"/>
      <c r="H714" s="309"/>
      <c r="I714" s="309"/>
    </row>
    <row r="715">
      <c r="D715" s="309"/>
      <c r="E715" s="309"/>
      <c r="F715" s="309"/>
      <c r="G715" s="309"/>
      <c r="H715" s="309"/>
      <c r="I715" s="309"/>
    </row>
    <row r="716">
      <c r="D716" s="309"/>
      <c r="E716" s="309"/>
      <c r="F716" s="309"/>
      <c r="G716" s="309"/>
      <c r="H716" s="309"/>
      <c r="I716" s="309"/>
    </row>
    <row r="717">
      <c r="D717" s="309"/>
      <c r="E717" s="309"/>
      <c r="F717" s="309"/>
      <c r="G717" s="309"/>
      <c r="H717" s="309"/>
      <c r="I717" s="309"/>
    </row>
    <row r="718">
      <c r="D718" s="309"/>
      <c r="E718" s="309"/>
      <c r="F718" s="309"/>
      <c r="G718" s="309"/>
      <c r="H718" s="309"/>
      <c r="I718" s="309"/>
    </row>
    <row r="719">
      <c r="D719" s="309"/>
      <c r="E719" s="309"/>
      <c r="F719" s="309"/>
      <c r="G719" s="309"/>
      <c r="H719" s="309"/>
      <c r="I719" s="309"/>
    </row>
    <row r="720">
      <c r="D720" s="309"/>
      <c r="E720" s="309"/>
      <c r="F720" s="309"/>
      <c r="G720" s="309"/>
      <c r="H720" s="309"/>
      <c r="I720" s="309"/>
    </row>
    <row r="721">
      <c r="D721" s="309"/>
      <c r="E721" s="309"/>
      <c r="F721" s="309"/>
      <c r="G721" s="309"/>
      <c r="H721" s="309"/>
      <c r="I721" s="309"/>
    </row>
    <row r="722">
      <c r="D722" s="309"/>
      <c r="E722" s="309"/>
      <c r="F722" s="309"/>
      <c r="G722" s="309"/>
      <c r="H722" s="309"/>
      <c r="I722" s="309"/>
    </row>
    <row r="723">
      <c r="D723" s="309"/>
      <c r="E723" s="309"/>
      <c r="F723" s="309"/>
      <c r="G723" s="309"/>
      <c r="H723" s="309"/>
      <c r="I723" s="309"/>
    </row>
    <row r="724">
      <c r="D724" s="309"/>
      <c r="E724" s="309"/>
      <c r="F724" s="309"/>
      <c r="G724" s="309"/>
      <c r="H724" s="309"/>
      <c r="I724" s="309"/>
    </row>
    <row r="725">
      <c r="D725" s="309"/>
      <c r="E725" s="309"/>
      <c r="F725" s="309"/>
      <c r="G725" s="309"/>
      <c r="H725" s="309"/>
      <c r="I725" s="309"/>
    </row>
    <row r="726">
      <c r="D726" s="309"/>
      <c r="E726" s="309"/>
      <c r="F726" s="309"/>
      <c r="G726" s="309"/>
      <c r="H726" s="309"/>
      <c r="I726" s="309"/>
    </row>
    <row r="727">
      <c r="D727" s="309"/>
      <c r="E727" s="309"/>
      <c r="F727" s="309"/>
      <c r="G727" s="309"/>
      <c r="H727" s="309"/>
      <c r="I727" s="309"/>
    </row>
    <row r="728">
      <c r="D728" s="309"/>
      <c r="E728" s="309"/>
      <c r="F728" s="309"/>
      <c r="G728" s="309"/>
      <c r="H728" s="309"/>
      <c r="I728" s="309"/>
    </row>
    <row r="729">
      <c r="D729" s="309"/>
      <c r="E729" s="309"/>
      <c r="F729" s="309"/>
      <c r="G729" s="309"/>
      <c r="H729" s="309"/>
      <c r="I729" s="309"/>
    </row>
    <row r="730">
      <c r="D730" s="309"/>
      <c r="E730" s="309"/>
      <c r="F730" s="309"/>
      <c r="G730" s="309"/>
      <c r="H730" s="309"/>
      <c r="I730" s="309"/>
    </row>
    <row r="731">
      <c r="D731" s="309"/>
      <c r="E731" s="309"/>
      <c r="F731" s="309"/>
      <c r="G731" s="309"/>
      <c r="H731" s="309"/>
      <c r="I731" s="309"/>
    </row>
    <row r="732">
      <c r="D732" s="309"/>
      <c r="E732" s="309"/>
      <c r="F732" s="309"/>
      <c r="G732" s="309"/>
      <c r="H732" s="309"/>
      <c r="I732" s="309"/>
    </row>
    <row r="733">
      <c r="D733" s="309"/>
      <c r="E733" s="309"/>
      <c r="F733" s="309"/>
      <c r="G733" s="309"/>
      <c r="H733" s="309"/>
      <c r="I733" s="309"/>
    </row>
    <row r="734">
      <c r="D734" s="309"/>
      <c r="E734" s="309"/>
      <c r="F734" s="309"/>
      <c r="G734" s="309"/>
      <c r="H734" s="309"/>
      <c r="I734" s="309"/>
    </row>
    <row r="735">
      <c r="D735" s="309"/>
      <c r="E735" s="309"/>
      <c r="F735" s="309"/>
      <c r="G735" s="309"/>
      <c r="H735" s="309"/>
      <c r="I735" s="309"/>
    </row>
    <row r="736">
      <c r="D736" s="309"/>
      <c r="E736" s="309"/>
      <c r="F736" s="309"/>
      <c r="G736" s="309"/>
      <c r="H736" s="309"/>
      <c r="I736" s="309"/>
    </row>
    <row r="737">
      <c r="D737" s="309"/>
      <c r="E737" s="309"/>
      <c r="F737" s="309"/>
      <c r="G737" s="309"/>
      <c r="H737" s="309"/>
      <c r="I737" s="309"/>
    </row>
    <row r="738">
      <c r="D738" s="309"/>
      <c r="E738" s="309"/>
      <c r="F738" s="309"/>
      <c r="G738" s="309"/>
      <c r="H738" s="309"/>
      <c r="I738" s="309"/>
    </row>
    <row r="739">
      <c r="D739" s="309"/>
      <c r="E739" s="309"/>
      <c r="F739" s="309"/>
      <c r="G739" s="309"/>
      <c r="H739" s="309"/>
      <c r="I739" s="309"/>
    </row>
    <row r="740">
      <c r="D740" s="309"/>
      <c r="E740" s="309"/>
      <c r="F740" s="309"/>
      <c r="G740" s="309"/>
      <c r="H740" s="309"/>
      <c r="I740" s="309"/>
    </row>
    <row r="741">
      <c r="D741" s="309"/>
      <c r="E741" s="309"/>
      <c r="F741" s="309"/>
      <c r="G741" s="309"/>
      <c r="H741" s="309"/>
      <c r="I741" s="309"/>
    </row>
    <row r="742">
      <c r="D742" s="309"/>
      <c r="E742" s="309"/>
      <c r="F742" s="309"/>
      <c r="G742" s="309"/>
      <c r="H742" s="309"/>
      <c r="I742" s="309"/>
    </row>
    <row r="743">
      <c r="D743" s="309"/>
      <c r="E743" s="309"/>
      <c r="F743" s="309"/>
      <c r="G743" s="309"/>
      <c r="H743" s="309"/>
      <c r="I743" s="309"/>
    </row>
    <row r="744">
      <c r="D744" s="309"/>
      <c r="E744" s="309"/>
      <c r="F744" s="309"/>
      <c r="G744" s="309"/>
      <c r="H744" s="309"/>
      <c r="I744" s="309"/>
    </row>
    <row r="745">
      <c r="D745" s="309"/>
      <c r="E745" s="309"/>
      <c r="F745" s="309"/>
      <c r="G745" s="309"/>
      <c r="H745" s="309"/>
      <c r="I745" s="309"/>
    </row>
    <row r="746">
      <c r="D746" s="309"/>
      <c r="E746" s="309"/>
      <c r="F746" s="309"/>
      <c r="G746" s="309"/>
      <c r="H746" s="309"/>
      <c r="I746" s="309"/>
    </row>
    <row r="747">
      <c r="D747" s="309"/>
      <c r="E747" s="309"/>
      <c r="F747" s="309"/>
      <c r="G747" s="309"/>
      <c r="H747" s="309"/>
      <c r="I747" s="309"/>
    </row>
    <row r="748">
      <c r="D748" s="309"/>
      <c r="E748" s="309"/>
      <c r="F748" s="309"/>
      <c r="G748" s="309"/>
      <c r="H748" s="309"/>
      <c r="I748" s="309"/>
    </row>
    <row r="749">
      <c r="D749" s="309"/>
      <c r="E749" s="309"/>
      <c r="F749" s="309"/>
      <c r="G749" s="309"/>
      <c r="H749" s="309"/>
      <c r="I749" s="309"/>
    </row>
    <row r="750">
      <c r="D750" s="309"/>
      <c r="E750" s="309"/>
      <c r="F750" s="309"/>
      <c r="G750" s="309"/>
      <c r="H750" s="309"/>
      <c r="I750" s="309"/>
    </row>
    <row r="751">
      <c r="D751" s="309"/>
      <c r="E751" s="309"/>
      <c r="F751" s="309"/>
      <c r="G751" s="309"/>
      <c r="H751" s="309"/>
      <c r="I751" s="309"/>
    </row>
    <row r="752">
      <c r="D752" s="309"/>
      <c r="E752" s="309"/>
      <c r="F752" s="309"/>
      <c r="G752" s="309"/>
      <c r="H752" s="309"/>
      <c r="I752" s="309"/>
    </row>
    <row r="753">
      <c r="D753" s="309"/>
      <c r="E753" s="309"/>
      <c r="F753" s="309"/>
      <c r="G753" s="309"/>
      <c r="H753" s="309"/>
      <c r="I753" s="309"/>
    </row>
    <row r="754">
      <c r="D754" s="309"/>
      <c r="E754" s="309"/>
      <c r="F754" s="309"/>
      <c r="G754" s="309"/>
      <c r="H754" s="309"/>
      <c r="I754" s="309"/>
    </row>
    <row r="755">
      <c r="D755" s="309"/>
      <c r="E755" s="309"/>
      <c r="F755" s="309"/>
      <c r="G755" s="309"/>
      <c r="H755" s="309"/>
      <c r="I755" s="309"/>
    </row>
    <row r="756">
      <c r="D756" s="309"/>
      <c r="E756" s="309"/>
      <c r="F756" s="309"/>
      <c r="G756" s="309"/>
      <c r="H756" s="309"/>
      <c r="I756" s="309"/>
    </row>
    <row r="757">
      <c r="D757" s="309"/>
      <c r="E757" s="309"/>
      <c r="F757" s="309"/>
      <c r="G757" s="309"/>
      <c r="H757" s="309"/>
      <c r="I757" s="309"/>
    </row>
    <row r="758">
      <c r="D758" s="309"/>
      <c r="E758" s="309"/>
      <c r="F758" s="309"/>
      <c r="G758" s="309"/>
      <c r="H758" s="309"/>
      <c r="I758" s="309"/>
    </row>
    <row r="759">
      <c r="D759" s="309"/>
      <c r="E759" s="309"/>
      <c r="F759" s="309"/>
      <c r="G759" s="309"/>
      <c r="H759" s="309"/>
      <c r="I759" s="309"/>
    </row>
    <row r="760">
      <c r="D760" s="309"/>
      <c r="E760" s="309"/>
      <c r="F760" s="309"/>
      <c r="G760" s="309"/>
      <c r="H760" s="309"/>
      <c r="I760" s="309"/>
    </row>
    <row r="761">
      <c r="D761" s="309"/>
      <c r="E761" s="309"/>
      <c r="F761" s="309"/>
      <c r="G761" s="309"/>
      <c r="H761" s="309"/>
      <c r="I761" s="309"/>
    </row>
    <row r="762">
      <c r="D762" s="309"/>
      <c r="E762" s="309"/>
      <c r="F762" s="309"/>
      <c r="G762" s="309"/>
      <c r="H762" s="309"/>
      <c r="I762" s="309"/>
    </row>
    <row r="763">
      <c r="D763" s="309"/>
      <c r="E763" s="309"/>
      <c r="F763" s="309"/>
      <c r="G763" s="309"/>
      <c r="H763" s="309"/>
      <c r="I763" s="309"/>
    </row>
    <row r="764">
      <c r="D764" s="309"/>
      <c r="E764" s="309"/>
      <c r="F764" s="309"/>
      <c r="G764" s="309"/>
      <c r="H764" s="309"/>
      <c r="I764" s="309"/>
    </row>
    <row r="765">
      <c r="D765" s="309"/>
      <c r="E765" s="309"/>
      <c r="F765" s="309"/>
      <c r="G765" s="309"/>
      <c r="H765" s="309"/>
      <c r="I765" s="309"/>
    </row>
    <row r="766">
      <c r="D766" s="309"/>
      <c r="E766" s="309"/>
      <c r="F766" s="309"/>
      <c r="G766" s="309"/>
      <c r="H766" s="309"/>
      <c r="I766" s="309"/>
    </row>
    <row r="767">
      <c r="D767" s="309"/>
      <c r="E767" s="309"/>
      <c r="F767" s="309"/>
      <c r="G767" s="309"/>
      <c r="H767" s="309"/>
      <c r="I767" s="309"/>
    </row>
    <row r="768">
      <c r="D768" s="309"/>
      <c r="E768" s="309"/>
      <c r="F768" s="309"/>
      <c r="G768" s="309"/>
      <c r="H768" s="309"/>
      <c r="I768" s="309"/>
    </row>
    <row r="769">
      <c r="D769" s="309"/>
      <c r="E769" s="309"/>
      <c r="F769" s="309"/>
      <c r="G769" s="309"/>
      <c r="H769" s="309"/>
      <c r="I769" s="309"/>
    </row>
  </sheetData>
  <mergeCells count="302">
    <mergeCell ref="D44:H44"/>
    <mergeCell ref="G45:H45"/>
    <mergeCell ref="G46:H46"/>
    <mergeCell ref="G47:H47"/>
    <mergeCell ref="G48:H48"/>
    <mergeCell ref="E49:H49"/>
    <mergeCell ref="E50:H50"/>
    <mergeCell ref="E51:F51"/>
    <mergeCell ref="E52:F52"/>
    <mergeCell ref="E53:F53"/>
    <mergeCell ref="D54:H54"/>
    <mergeCell ref="G55:H55"/>
    <mergeCell ref="G56:H56"/>
    <mergeCell ref="G57:H57"/>
    <mergeCell ref="C2:I2"/>
    <mergeCell ref="D3:H3"/>
    <mergeCell ref="D4:H4"/>
    <mergeCell ref="G5:H5"/>
    <mergeCell ref="G6:H6"/>
    <mergeCell ref="G7:H7"/>
    <mergeCell ref="G8:H8"/>
    <mergeCell ref="E9:H9"/>
    <mergeCell ref="E10:H10"/>
    <mergeCell ref="E11:F11"/>
    <mergeCell ref="E12:F12"/>
    <mergeCell ref="E13:F13"/>
    <mergeCell ref="D14:H14"/>
    <mergeCell ref="G15:H15"/>
    <mergeCell ref="G16:H16"/>
    <mergeCell ref="G17:H17"/>
    <mergeCell ref="G18:H18"/>
    <mergeCell ref="E19:H19"/>
    <mergeCell ref="E20:H20"/>
    <mergeCell ref="E21:F21"/>
    <mergeCell ref="E22:F22"/>
    <mergeCell ref="E23:F23"/>
    <mergeCell ref="D24:H24"/>
    <mergeCell ref="G25:H25"/>
    <mergeCell ref="G26:H26"/>
    <mergeCell ref="G27:H27"/>
    <mergeCell ref="G28:H28"/>
    <mergeCell ref="E29:H29"/>
    <mergeCell ref="E30:H30"/>
    <mergeCell ref="E31:F31"/>
    <mergeCell ref="E32:F32"/>
    <mergeCell ref="E33:F33"/>
    <mergeCell ref="D34:H34"/>
    <mergeCell ref="G35:H35"/>
    <mergeCell ref="G36:H36"/>
    <mergeCell ref="G37:H37"/>
    <mergeCell ref="G38:H38"/>
    <mergeCell ref="E39:H39"/>
    <mergeCell ref="E40:H40"/>
    <mergeCell ref="E41:F41"/>
    <mergeCell ref="E42:F42"/>
    <mergeCell ref="E43:F43"/>
    <mergeCell ref="G58:H58"/>
    <mergeCell ref="E59:H59"/>
    <mergeCell ref="E60:H60"/>
    <mergeCell ref="E61:F61"/>
    <mergeCell ref="E62:F62"/>
    <mergeCell ref="E63:F63"/>
    <mergeCell ref="D64:H64"/>
    <mergeCell ref="G65:H65"/>
    <mergeCell ref="G66:H66"/>
    <mergeCell ref="G67:H67"/>
    <mergeCell ref="G68:H68"/>
    <mergeCell ref="E69:H69"/>
    <mergeCell ref="E70:H70"/>
    <mergeCell ref="E71:F71"/>
    <mergeCell ref="E72:F72"/>
    <mergeCell ref="E73:F73"/>
    <mergeCell ref="D74:H74"/>
    <mergeCell ref="G75:H75"/>
    <mergeCell ref="G76:H76"/>
    <mergeCell ref="G77:H77"/>
    <mergeCell ref="G78:H78"/>
    <mergeCell ref="E79:H79"/>
    <mergeCell ref="E80:H80"/>
    <mergeCell ref="E81:F81"/>
    <mergeCell ref="E82:F82"/>
    <mergeCell ref="E83:F83"/>
    <mergeCell ref="D84:H84"/>
    <mergeCell ref="G85:H85"/>
    <mergeCell ref="G86:H86"/>
    <mergeCell ref="G87:H87"/>
    <mergeCell ref="G88:H88"/>
    <mergeCell ref="E89:H89"/>
    <mergeCell ref="E90:H90"/>
    <mergeCell ref="E91:F91"/>
    <mergeCell ref="E92:F92"/>
    <mergeCell ref="E93:F93"/>
    <mergeCell ref="D94:H94"/>
    <mergeCell ref="G95:H95"/>
    <mergeCell ref="G96:H96"/>
    <mergeCell ref="G97:H97"/>
    <mergeCell ref="G98:H98"/>
    <mergeCell ref="E99:H99"/>
    <mergeCell ref="E100:H100"/>
    <mergeCell ref="E101:F101"/>
    <mergeCell ref="E102:F102"/>
    <mergeCell ref="E103:F103"/>
    <mergeCell ref="D104:H104"/>
    <mergeCell ref="G105:H105"/>
    <mergeCell ref="G106:H106"/>
    <mergeCell ref="G107:H107"/>
    <mergeCell ref="G108:H108"/>
    <mergeCell ref="E109:H109"/>
    <mergeCell ref="E110:H110"/>
    <mergeCell ref="E111:F111"/>
    <mergeCell ref="E112:F112"/>
    <mergeCell ref="E113:F113"/>
    <mergeCell ref="D114:H114"/>
    <mergeCell ref="G115:H115"/>
    <mergeCell ref="G116:H116"/>
    <mergeCell ref="G117:H117"/>
    <mergeCell ref="G118:H118"/>
    <mergeCell ref="E119:H119"/>
    <mergeCell ref="E120:H120"/>
    <mergeCell ref="E121:F121"/>
    <mergeCell ref="E122:F122"/>
    <mergeCell ref="E123:F123"/>
    <mergeCell ref="D124:H124"/>
    <mergeCell ref="G125:H125"/>
    <mergeCell ref="G126:H126"/>
    <mergeCell ref="G127:H127"/>
    <mergeCell ref="G128:H128"/>
    <mergeCell ref="E129:H129"/>
    <mergeCell ref="E130:H130"/>
    <mergeCell ref="E131:F131"/>
    <mergeCell ref="E132:F132"/>
    <mergeCell ref="E133:F133"/>
    <mergeCell ref="D134:H134"/>
    <mergeCell ref="G135:H135"/>
    <mergeCell ref="G136:H136"/>
    <mergeCell ref="G137:H137"/>
    <mergeCell ref="G138:H138"/>
    <mergeCell ref="E139:H139"/>
    <mergeCell ref="E140:H140"/>
    <mergeCell ref="E141:F141"/>
    <mergeCell ref="E142:F142"/>
    <mergeCell ref="E143:F143"/>
    <mergeCell ref="D144:H144"/>
    <mergeCell ref="G145:H145"/>
    <mergeCell ref="G146:H146"/>
    <mergeCell ref="G147:H147"/>
    <mergeCell ref="G148:H148"/>
    <mergeCell ref="E149:H149"/>
    <mergeCell ref="E150:H150"/>
    <mergeCell ref="E151:F151"/>
    <mergeCell ref="E152:F152"/>
    <mergeCell ref="E153:F153"/>
    <mergeCell ref="D154:H154"/>
    <mergeCell ref="G155:H155"/>
    <mergeCell ref="G156:H156"/>
    <mergeCell ref="G157:H157"/>
    <mergeCell ref="G158:H158"/>
    <mergeCell ref="E159:H159"/>
    <mergeCell ref="E160:H160"/>
    <mergeCell ref="E161:F161"/>
    <mergeCell ref="E162:F162"/>
    <mergeCell ref="E163:F163"/>
    <mergeCell ref="D164:H164"/>
    <mergeCell ref="G165:H165"/>
    <mergeCell ref="G166:H166"/>
    <mergeCell ref="G167:H167"/>
    <mergeCell ref="G168:H168"/>
    <mergeCell ref="E169:H169"/>
    <mergeCell ref="E170:H170"/>
    <mergeCell ref="E171:F171"/>
    <mergeCell ref="E172:F172"/>
    <mergeCell ref="E173:F173"/>
    <mergeCell ref="D174:H174"/>
    <mergeCell ref="G175:H175"/>
    <mergeCell ref="G176:H176"/>
    <mergeCell ref="G177:H177"/>
    <mergeCell ref="G178:H178"/>
    <mergeCell ref="E179:H179"/>
    <mergeCell ref="E180:H180"/>
    <mergeCell ref="E181:F181"/>
    <mergeCell ref="E182:F182"/>
    <mergeCell ref="E183:F183"/>
    <mergeCell ref="D184:H184"/>
    <mergeCell ref="G185:H185"/>
    <mergeCell ref="G186:H186"/>
    <mergeCell ref="G187:H187"/>
    <mergeCell ref="G188:H188"/>
    <mergeCell ref="E189:H189"/>
    <mergeCell ref="E190:H190"/>
    <mergeCell ref="E191:F191"/>
    <mergeCell ref="E192:F192"/>
    <mergeCell ref="E193:F193"/>
    <mergeCell ref="D194:H194"/>
    <mergeCell ref="G195:H195"/>
    <mergeCell ref="G196:H196"/>
    <mergeCell ref="G197:H197"/>
    <mergeCell ref="G198:H198"/>
    <mergeCell ref="E199:H199"/>
    <mergeCell ref="E200:H200"/>
    <mergeCell ref="E201:F201"/>
    <mergeCell ref="E202:F202"/>
    <mergeCell ref="E203:F203"/>
    <mergeCell ref="D204:H204"/>
    <mergeCell ref="G205:H205"/>
    <mergeCell ref="G206:H206"/>
    <mergeCell ref="G207:H207"/>
    <mergeCell ref="G208:H208"/>
    <mergeCell ref="E209:H209"/>
    <mergeCell ref="E210:H210"/>
    <mergeCell ref="E211:F211"/>
    <mergeCell ref="D254:H254"/>
    <mergeCell ref="G255:H255"/>
    <mergeCell ref="G256:H256"/>
    <mergeCell ref="G257:H257"/>
    <mergeCell ref="G258:H258"/>
    <mergeCell ref="E259:H259"/>
    <mergeCell ref="E260:H260"/>
    <mergeCell ref="E261:F261"/>
    <mergeCell ref="E262:F262"/>
    <mergeCell ref="E263:F263"/>
    <mergeCell ref="D264:H264"/>
    <mergeCell ref="G265:H265"/>
    <mergeCell ref="G266:H266"/>
    <mergeCell ref="G267:H267"/>
    <mergeCell ref="G275:H275"/>
    <mergeCell ref="G276:H276"/>
    <mergeCell ref="G277:H277"/>
    <mergeCell ref="G278:H278"/>
    <mergeCell ref="E279:H279"/>
    <mergeCell ref="E280:H280"/>
    <mergeCell ref="E281:F281"/>
    <mergeCell ref="E282:F282"/>
    <mergeCell ref="E283:F283"/>
    <mergeCell ref="D284:H284"/>
    <mergeCell ref="G285:H285"/>
    <mergeCell ref="G286:H286"/>
    <mergeCell ref="G287:H287"/>
    <mergeCell ref="G288:H288"/>
    <mergeCell ref="G296:H296"/>
    <mergeCell ref="G297:H297"/>
    <mergeCell ref="G298:H298"/>
    <mergeCell ref="E299:H299"/>
    <mergeCell ref="E300:H300"/>
    <mergeCell ref="E301:F301"/>
    <mergeCell ref="E302:F302"/>
    <mergeCell ref="E303:F303"/>
    <mergeCell ref="E289:H289"/>
    <mergeCell ref="E290:H290"/>
    <mergeCell ref="E291:F291"/>
    <mergeCell ref="E292:F292"/>
    <mergeCell ref="E293:F293"/>
    <mergeCell ref="D294:H294"/>
    <mergeCell ref="G295:H295"/>
    <mergeCell ref="E212:F212"/>
    <mergeCell ref="E213:F213"/>
    <mergeCell ref="D214:H214"/>
    <mergeCell ref="G215:H215"/>
    <mergeCell ref="G216:H216"/>
    <mergeCell ref="G217:H217"/>
    <mergeCell ref="G218:H218"/>
    <mergeCell ref="E219:H219"/>
    <mergeCell ref="E220:H220"/>
    <mergeCell ref="E221:F221"/>
    <mergeCell ref="E222:F222"/>
    <mergeCell ref="E223:F223"/>
    <mergeCell ref="D224:H224"/>
    <mergeCell ref="G225:H225"/>
    <mergeCell ref="G226:H226"/>
    <mergeCell ref="G227:H227"/>
    <mergeCell ref="G228:H228"/>
    <mergeCell ref="E229:H229"/>
    <mergeCell ref="E230:H230"/>
    <mergeCell ref="E231:F231"/>
    <mergeCell ref="E232:F232"/>
    <mergeCell ref="E233:F233"/>
    <mergeCell ref="D234:H234"/>
    <mergeCell ref="G235:H235"/>
    <mergeCell ref="G236:H236"/>
    <mergeCell ref="G237:H237"/>
    <mergeCell ref="G238:H238"/>
    <mergeCell ref="E239:H239"/>
    <mergeCell ref="E240:H240"/>
    <mergeCell ref="E241:F241"/>
    <mergeCell ref="E242:F242"/>
    <mergeCell ref="E243:F243"/>
    <mergeCell ref="D244:H244"/>
    <mergeCell ref="G245:H245"/>
    <mergeCell ref="G246:H246"/>
    <mergeCell ref="G247:H247"/>
    <mergeCell ref="G248:H248"/>
    <mergeCell ref="E249:H249"/>
    <mergeCell ref="E250:H250"/>
    <mergeCell ref="E251:F251"/>
    <mergeCell ref="E252:F252"/>
    <mergeCell ref="E253:F253"/>
    <mergeCell ref="G268:H268"/>
    <mergeCell ref="E269:H269"/>
    <mergeCell ref="E270:H270"/>
    <mergeCell ref="E271:F271"/>
    <mergeCell ref="E272:F272"/>
    <mergeCell ref="E273:F273"/>
    <mergeCell ref="D274:H274"/>
  </mergeCells>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3" priority="1" operator="equal">
      <formula>"A"</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4" priority="2" operator="equal">
      <formula>"B"</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5" priority="3" operator="equal">
      <formula>"C1"</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6" priority="4" operator="equal">
      <formula>"C2"</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7" priority="5" operator="equal">
      <formula>"D"</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8" priority="6" operator="equal">
      <formula>"R"</formula>
    </cfRule>
  </conditionalFormatting>
  <conditionalFormatting sqref="D5:E8 D15:D22 E15:E18 D25:D32 E25:E28 D35:D42 E35:E38 D45:D52 E45:E48 D55:D62 E55:E58 D65:D72 E65:E68 D75:D82 E75:E78 D85:D92 E85:E88 D95:D102 E95:E98 D105:D112 E105:E108 D115:D122 E115:E118 D125:D132 E125:E128 D135:D142 E135:E138 D145:D152 E145:E148 D155:D162 E155:E158 D165:D172 E165:E168 D175:D182 E175:E178 D185:D192 E185:E188 D195:D202 E195:E198 D205:D212 E205:E208 D215:D222 E215:E218 D225:D232 E225:E228 D235:D242 E235:E238 D245:D252 E245:E248 D255:D262 E255:E258 D265:D272 E265:E268 D275:D282 E275:E278 D285:D292 E285:E288 D295:D302 E295:E298">
    <cfRule type="cellIs" dxfId="9" priority="7" operator="equal">
      <formula>"N"</formula>
    </cfRule>
  </conditionalFormatting>
  <printOptions gridLines="1" horizontalCentered="1"/>
  <pageMargins bottom="0.75" footer="0.0" header="0.0" left="0.7" right="0.7" top="0.75"/>
  <pageSetup fitToHeight="0" paperSize="9" cellComments="atEnd" orientation="portrait" pageOrder="overThenDown"/>
  <drawing r:id="rId1"/>
</worksheet>
</file>