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d" sheetId="1" r:id="rId5"/>
    <sheet state="visible" name="inr" sheetId="2" r:id="rId6"/>
    <sheet state="visible" name="IGI" sheetId="3" r:id="rId7"/>
  </sheets>
  <definedNames/>
  <calcPr/>
</workbook>
</file>

<file path=xl/sharedStrings.xml><?xml version="1.0" encoding="utf-8"?>
<sst xmlns="http://schemas.openxmlformats.org/spreadsheetml/2006/main" count="44" uniqueCount="22">
  <si>
    <t>PARTY STAR</t>
  </si>
  <si>
    <t>+91 9920905744</t>
  </si>
  <si>
    <t>LABGROWN DIAMONDS</t>
  </si>
  <si>
    <t>+91 9324005296</t>
  </si>
  <si>
    <t xml:space="preserve">                    Quality, Quantity Trust &amp; Satisfaction.</t>
  </si>
  <si>
    <t>Email:- sales@partystar.net</t>
  </si>
  <si>
    <t>Email:- sales@partystar.in</t>
  </si>
  <si>
    <t>minimum order 5000$ World Wide Delivery</t>
  </si>
  <si>
    <t>SURAT, MUMBAI (INDIA), HONGKONG, BANGKOK,CHINA,USA, DUBAI, NEPAL, BARMA</t>
  </si>
  <si>
    <t>VALID FOR 7 DAYS</t>
  </si>
  <si>
    <t>BW-3062, BDB, BKC, MUMBAI,INDIA</t>
  </si>
  <si>
    <t>DEF COLOUR</t>
  </si>
  <si>
    <t>VVS-VS</t>
  </si>
  <si>
    <t>HPHT</t>
  </si>
  <si>
    <t>IGI</t>
  </si>
  <si>
    <t>CERTIFIED STONES</t>
  </si>
  <si>
    <t xml:space="preserve">Fancy Shapes: </t>
  </si>
  <si>
    <t xml:space="preserve">Square Shapes: </t>
  </si>
  <si>
    <t>Oval, Marquise, Pear, Heart</t>
  </si>
  <si>
    <t>Emerald, Radiant, Princess, Cushion, Asscher</t>
  </si>
  <si>
    <t>Make To Order As Per Your Size And Shapes Also Can Do With In 20 Days.</t>
  </si>
  <si>
    <t>www.partystar.net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</si>
</sst>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color theme="1"/>
      <name val="Arial"/>
    </font>
    <font>
      <b/>
      <sz val="50.0"/>
      <color rgb="FFFF0000"/>
      <name val="Arial"/>
    </font>
    <font/>
    <font>
      <b/>
      <sz val="12.0"/>
      <color theme="1"/>
      <name val="Arial"/>
    </font>
    <font>
      <b/>
      <sz val="20.0"/>
      <color rgb="FFFF0000"/>
      <name val="Arial"/>
    </font>
    <font>
      <b/>
      <color rgb="FFFF0000"/>
      <name val="Arial"/>
    </font>
    <font>
      <b/>
      <sz val="11.0"/>
      <color theme="1"/>
      <name val="Arial"/>
    </font>
    <font>
      <b/>
      <sz val="9.0"/>
      <color theme="1"/>
      <name val="Arial"/>
    </font>
    <font>
      <b/>
      <color theme="1"/>
      <name val="Arial"/>
    </font>
    <font>
      <b/>
      <sz val="8.0"/>
      <color theme="1"/>
      <name val="Arial"/>
    </font>
    <font>
      <b/>
      <i/>
      <sz val="11.0"/>
      <color theme="1"/>
      <name val="Arial"/>
    </font>
    <font>
      <b/>
      <sz val="21.0"/>
      <color rgb="FFFF0000"/>
      <name val="Arial"/>
    </font>
    <font>
      <color rgb="FFFF0000"/>
      <name val="Arial"/>
    </font>
    <font>
      <b/>
      <color theme="1"/>
      <name val="Arial"/>
      <scheme val="minor"/>
    </font>
    <font>
      <b/>
      <u/>
      <sz val="14.0"/>
      <color rgb="FF1155CC"/>
      <name val="Arial"/>
    </font>
    <font>
      <sz val="8.0"/>
      <color theme="1"/>
      <name val="Arial"/>
    </font>
    <font>
      <sz val="9.0"/>
      <color theme="1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FF0000"/>
        <bgColor rgb="FFFF0000"/>
      </patternFill>
    </fill>
  </fills>
  <borders count="40">
    <border/>
    <border>
      <left style="thick">
        <color rgb="FF666666"/>
      </left>
      <top style="thick">
        <color rgb="FF666666"/>
      </top>
    </border>
    <border>
      <top style="thick">
        <color rgb="FF666666"/>
      </top>
    </border>
    <border>
      <right style="thick">
        <color rgb="FF666666"/>
      </right>
      <top style="thick">
        <color rgb="FF666666"/>
      </top>
    </border>
    <border>
      <left style="thick">
        <color rgb="FF666666"/>
      </left>
    </border>
    <border>
      <right style="thick">
        <color rgb="FF666666"/>
      </right>
    </border>
    <border>
      <left style="thick">
        <color rgb="FF000000"/>
      </left>
      <bottom style="thick">
        <color rgb="FF666666"/>
      </bottom>
    </border>
    <border>
      <bottom style="thick">
        <color rgb="FF666666"/>
      </bottom>
    </border>
    <border>
      <right style="thick">
        <color rgb="FF666666"/>
      </right>
      <bottom style="thick">
        <color rgb="FF666666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2" fillId="0" fontId="2" numFmtId="0" xfId="0" applyAlignment="1" applyBorder="1" applyFont="1">
      <alignment horizontal="center" readingOrder="0" vertical="bottom"/>
    </xf>
    <xf borderId="2" fillId="0" fontId="3" numFmtId="0" xfId="0" applyBorder="1" applyFont="1"/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quotePrefix="1" borderId="0" fillId="0" fontId="4" numFmtId="0" xfId="0" applyAlignment="1" applyFont="1">
      <alignment vertical="bottom"/>
    </xf>
    <xf borderId="5" fillId="0" fontId="3" numFmtId="0" xfId="0" applyBorder="1" applyFont="1"/>
    <xf borderId="0" fillId="2" fontId="5" numFmtId="0" xfId="0" applyAlignment="1" applyFill="1" applyFont="1">
      <alignment horizontal="center" vertical="bottom"/>
    </xf>
    <xf borderId="0" fillId="0" fontId="6" numFmtId="0" xfId="0" applyAlignment="1" applyFont="1">
      <alignment horizontal="center" vertical="bottom"/>
    </xf>
    <xf borderId="0" fillId="0" fontId="7" numFmtId="0" xfId="0" applyAlignment="1" applyFont="1">
      <alignment horizontal="center" readingOrder="0" vertical="bottom"/>
    </xf>
    <xf borderId="0" fillId="0" fontId="7" numFmtId="0" xfId="0" applyAlignment="1" applyFont="1">
      <alignment horizontal="center" vertical="bottom"/>
    </xf>
    <xf borderId="6" fillId="0" fontId="8" numFmtId="0" xfId="0" applyAlignment="1" applyBorder="1" applyFont="1">
      <alignment horizontal="center"/>
    </xf>
    <xf borderId="7" fillId="0" fontId="3" numFmtId="0" xfId="0" applyBorder="1" applyFont="1"/>
    <xf borderId="7" fillId="0" fontId="9" numFmtId="0" xfId="0" applyAlignment="1" applyBorder="1" applyFont="1">
      <alignment horizontal="center" vertical="bottom"/>
    </xf>
    <xf borderId="7" fillId="0" fontId="10" numFmtId="0" xfId="0" applyAlignment="1" applyBorder="1" applyFont="1">
      <alignment horizontal="center" vertical="bottom"/>
    </xf>
    <xf borderId="6" fillId="0" fontId="10" numFmtId="0" xfId="0" applyAlignment="1" applyBorder="1" applyFont="1">
      <alignment horizontal="center"/>
    </xf>
    <xf borderId="7" fillId="0" fontId="11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8" fillId="0" fontId="3" numFmtId="0" xfId="0" applyBorder="1" applyFont="1"/>
    <xf borderId="0" fillId="3" fontId="6" numFmtId="0" xfId="0" applyAlignment="1" applyFill="1" applyFont="1">
      <alignment horizontal="center" readingOrder="0" vertical="bottom"/>
    </xf>
    <xf borderId="0" fillId="3" fontId="12" numFmtId="0" xfId="0" applyAlignment="1" applyFont="1">
      <alignment horizontal="center" readingOrder="0" vertical="bottom"/>
    </xf>
    <xf borderId="0" fillId="4" fontId="1" numFmtId="0" xfId="0" applyAlignment="1" applyFill="1" applyFont="1">
      <alignment vertical="bottom"/>
    </xf>
    <xf borderId="0" fillId="4" fontId="9" numFmtId="0" xfId="0" applyAlignment="1" applyFont="1">
      <alignment horizontal="center" vertical="bottom"/>
    </xf>
    <xf borderId="0" fillId="0" fontId="9" numFmtId="0" xfId="0" applyAlignment="1" applyFont="1">
      <alignment horizontal="center" vertical="bottom"/>
    </xf>
    <xf borderId="0" fillId="4" fontId="1" numFmtId="0" xfId="0" applyAlignment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9" numFmtId="0" xfId="0" applyAlignment="1" applyFont="1">
      <alignment horizontal="center" readingOrder="0" vertical="bottom"/>
    </xf>
    <xf borderId="0" fillId="5" fontId="1" numFmtId="0" xfId="0" applyAlignment="1" applyFill="1" applyFont="1">
      <alignment vertical="bottom"/>
    </xf>
    <xf borderId="0" fillId="5" fontId="9" numFmtId="0" xfId="0" applyAlignment="1" applyFont="1">
      <alignment horizontal="center" vertical="bottom"/>
    </xf>
    <xf borderId="0" fillId="0" fontId="1" numFmtId="0" xfId="0" applyAlignment="1" applyFont="1">
      <alignment horizontal="center" vertical="center"/>
    </xf>
    <xf borderId="0" fillId="6" fontId="9" numFmtId="0" xfId="0" applyAlignment="1" applyFill="1" applyFont="1">
      <alignment horizontal="center" vertical="bottom"/>
    </xf>
    <xf borderId="0" fillId="0" fontId="1" numFmtId="1" xfId="0" applyAlignment="1" applyFont="1" applyNumberFormat="1">
      <alignment horizontal="center" vertical="bottom"/>
    </xf>
    <xf borderId="0" fillId="0" fontId="13" numFmtId="1" xfId="0" applyAlignment="1" applyFont="1" applyNumberFormat="1">
      <alignment horizontal="center" vertical="bottom"/>
    </xf>
    <xf borderId="9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11" fillId="0" fontId="1" numFmtId="0" xfId="0" applyAlignment="1" applyBorder="1" applyFont="1">
      <alignment horizontal="center" vertical="bottom"/>
    </xf>
    <xf borderId="0" fillId="0" fontId="10" numFmtId="0" xfId="0" applyAlignment="1" applyFont="1">
      <alignment horizontal="center" readingOrder="0" vertical="bottom"/>
    </xf>
    <xf borderId="11" fillId="0" fontId="1" numFmtId="1" xfId="0" applyAlignment="1" applyBorder="1" applyFont="1" applyNumberFormat="1">
      <alignment horizontal="center" vertical="bottom"/>
    </xf>
    <xf borderId="12" fillId="0" fontId="13" numFmtId="1" xfId="0" applyAlignment="1" applyBorder="1" applyFont="1" applyNumberFormat="1">
      <alignment horizontal="center" vertical="center"/>
    </xf>
    <xf borderId="13" fillId="0" fontId="13" numFmtId="1" xfId="0" applyAlignment="1" applyBorder="1" applyFont="1" applyNumberFormat="1">
      <alignment horizontal="center"/>
    </xf>
    <xf borderId="0" fillId="0" fontId="14" numFmtId="0" xfId="0" applyAlignment="1" applyFont="1">
      <alignment horizontal="center"/>
    </xf>
    <xf borderId="14" fillId="0" fontId="3" numFmtId="0" xfId="0" applyBorder="1" applyFont="1"/>
    <xf borderId="15" fillId="0" fontId="1" numFmtId="0" xfId="0" applyAlignment="1" applyBorder="1" applyFont="1">
      <alignment horizontal="center" vertical="bottom"/>
    </xf>
    <xf borderId="16" fillId="0" fontId="1" numFmtId="0" xfId="0" applyAlignment="1" applyBorder="1" applyFont="1">
      <alignment horizontal="center" vertical="bottom"/>
    </xf>
    <xf borderId="0" fillId="0" fontId="1" numFmtId="1" xfId="0" applyAlignment="1" applyFont="1" applyNumberFormat="1">
      <alignment vertical="bottom"/>
    </xf>
    <xf borderId="16" fillId="0" fontId="1" numFmtId="1" xfId="0" applyAlignment="1" applyBorder="1" applyFont="1" applyNumberFormat="1">
      <alignment horizontal="center" vertical="bottom"/>
    </xf>
    <xf borderId="17" fillId="0" fontId="13" numFmtId="1" xfId="0" applyAlignment="1" applyBorder="1" applyFont="1" applyNumberFormat="1">
      <alignment horizontal="center" vertical="center"/>
    </xf>
    <xf borderId="18" fillId="5" fontId="9" numFmtId="0" xfId="0" applyAlignment="1" applyBorder="1" applyFont="1">
      <alignment horizontal="center" vertical="bottom"/>
    </xf>
    <xf borderId="19" fillId="0" fontId="13" numFmtId="1" xfId="0" applyAlignment="1" applyBorder="1" applyFont="1" applyNumberFormat="1">
      <alignment horizontal="center"/>
    </xf>
    <xf borderId="10" fillId="5" fontId="9" numFmtId="0" xfId="0" applyAlignment="1" applyBorder="1" applyFont="1">
      <alignment horizontal="center" vertical="bottom"/>
    </xf>
    <xf borderId="13" fillId="5" fontId="9" numFmtId="0" xfId="0" applyAlignment="1" applyBorder="1" applyFont="1">
      <alignment horizontal="center" vertical="bottom"/>
    </xf>
    <xf borderId="18" fillId="5" fontId="9" numFmtId="1" xfId="0" applyAlignment="1" applyBorder="1" applyFont="1" applyNumberFormat="1">
      <alignment horizontal="center" vertical="bottom"/>
    </xf>
    <xf borderId="15" fillId="0" fontId="9" numFmtId="0" xfId="0" applyAlignment="1" applyBorder="1" applyFont="1">
      <alignment horizontal="center" vertical="bottom"/>
    </xf>
    <xf borderId="15" fillId="0" fontId="9" numFmtId="1" xfId="0" applyAlignment="1" applyBorder="1" applyFont="1" applyNumberFormat="1">
      <alignment horizontal="center" vertical="bottom"/>
    </xf>
    <xf borderId="20" fillId="0" fontId="1" numFmtId="0" xfId="0" applyAlignment="1" applyBorder="1" applyFont="1">
      <alignment horizontal="center" vertical="bottom"/>
    </xf>
    <xf borderId="19" fillId="0" fontId="1" numFmtId="1" xfId="0" applyAlignment="1" applyBorder="1" applyFont="1" applyNumberFormat="1">
      <alignment horizontal="center" vertical="bottom"/>
    </xf>
    <xf borderId="20" fillId="0" fontId="1" numFmtId="2" xfId="0" applyAlignment="1" applyBorder="1" applyFont="1" applyNumberFormat="1">
      <alignment horizontal="center" vertical="bottom"/>
    </xf>
    <xf borderId="15" fillId="0" fontId="1" numFmtId="2" xfId="0" applyAlignment="1" applyBorder="1" applyFont="1" applyNumberFormat="1">
      <alignment horizontal="center" vertical="bottom"/>
    </xf>
    <xf borderId="21" fillId="0" fontId="3" numFmtId="0" xfId="0" applyBorder="1" applyFont="1"/>
    <xf borderId="22" fillId="0" fontId="1" numFmtId="0" xfId="0" applyAlignment="1" applyBorder="1" applyFont="1">
      <alignment horizontal="center" vertical="bottom"/>
    </xf>
    <xf borderId="23" fillId="0" fontId="1" numFmtId="0" xfId="0" applyAlignment="1" applyBorder="1" applyFont="1">
      <alignment horizontal="center" vertical="bottom"/>
    </xf>
    <xf borderId="24" fillId="0" fontId="1" numFmtId="0" xfId="0" applyAlignment="1" applyBorder="1" applyFont="1">
      <alignment horizontal="center" vertical="bottom"/>
    </xf>
    <xf borderId="23" fillId="0" fontId="1" numFmtId="1" xfId="0" applyAlignment="1" applyBorder="1" applyFont="1" applyNumberFormat="1">
      <alignment horizontal="center" vertical="bottom"/>
    </xf>
    <xf borderId="24" fillId="0" fontId="1" numFmtId="1" xfId="0" applyAlignment="1" applyBorder="1" applyFont="1" applyNumberFormat="1">
      <alignment horizontal="center" vertical="bottom"/>
    </xf>
    <xf borderId="25" fillId="0" fontId="13" numFmtId="1" xfId="0" applyAlignment="1" applyBorder="1" applyFont="1" applyNumberFormat="1">
      <alignment horizontal="center" vertical="center"/>
    </xf>
    <xf borderId="26" fillId="0" fontId="13" numFmtId="1" xfId="0" applyAlignment="1" applyBorder="1" applyFont="1" applyNumberFormat="1">
      <alignment horizontal="center"/>
    </xf>
    <xf borderId="27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/>
    </xf>
    <xf borderId="24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 readingOrder="0"/>
    </xf>
    <xf borderId="27" fillId="0" fontId="1" numFmtId="1" xfId="0" applyAlignment="1" applyBorder="1" applyFont="1" applyNumberFormat="1">
      <alignment horizontal="center" readingOrder="0" vertical="center"/>
    </xf>
    <xf borderId="10" fillId="0" fontId="1" numFmtId="1" xfId="0" applyAlignment="1" applyBorder="1" applyFont="1" applyNumberFormat="1">
      <alignment horizontal="center" readingOrder="0"/>
    </xf>
    <xf borderId="28" fillId="0" fontId="3" numFmtId="0" xfId="0" applyBorder="1" applyFont="1"/>
    <xf borderId="28" fillId="0" fontId="1" numFmtId="0" xfId="0" applyAlignment="1" applyBorder="1" applyFont="1">
      <alignment horizontal="center"/>
    </xf>
    <xf borderId="28" fillId="0" fontId="1" numFmtId="1" xfId="0" applyAlignment="1" applyBorder="1" applyFont="1" applyNumberFormat="1">
      <alignment horizontal="center" readingOrder="0" vertical="center"/>
    </xf>
    <xf borderId="15" fillId="0" fontId="1" numFmtId="0" xfId="0" applyAlignment="1" applyBorder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15" fillId="0" fontId="1" numFmtId="1" xfId="0" applyAlignment="1" applyBorder="1" applyFont="1" applyNumberFormat="1">
      <alignment horizontal="center" readingOrder="0"/>
    </xf>
    <xf borderId="24" fillId="0" fontId="1" numFmtId="0" xfId="0" applyAlignment="1" applyBorder="1" applyFont="1">
      <alignment horizontal="center" vertical="center"/>
    </xf>
    <xf borderId="24" fillId="0" fontId="1" numFmtId="1" xfId="0" applyAlignment="1" applyBorder="1" applyFont="1" applyNumberFormat="1">
      <alignment horizontal="center" readingOrder="0" vertical="center"/>
    </xf>
    <xf borderId="0" fillId="0" fontId="13" numFmtId="1" xfId="0" applyAlignment="1" applyFont="1" applyNumberFormat="1">
      <alignment horizontal="center" vertical="center"/>
    </xf>
    <xf borderId="28" fillId="0" fontId="1" numFmtId="0" xfId="0" applyAlignment="1" applyBorder="1" applyFont="1">
      <alignment horizontal="center" readingOrder="0"/>
    </xf>
    <xf borderId="28" fillId="0" fontId="1" numFmtId="1" xfId="0" applyAlignment="1" applyBorder="1" applyFont="1" applyNumberFormat="1">
      <alignment horizontal="center" readingOrder="0"/>
    </xf>
    <xf borderId="16" fillId="0" fontId="1" numFmtId="0" xfId="0" applyAlignment="1" applyBorder="1" applyFont="1">
      <alignment horizontal="center" vertical="center"/>
    </xf>
    <xf borderId="16" fillId="0" fontId="1" numFmtId="1" xfId="0" applyAlignment="1" applyBorder="1" applyFont="1" applyNumberFormat="1">
      <alignment horizontal="center" vertical="center"/>
    </xf>
    <xf borderId="29" fillId="0" fontId="3" numFmtId="0" xfId="0" applyBorder="1" applyFont="1"/>
    <xf borderId="0" fillId="0" fontId="1" numFmtId="1" xfId="0" applyAlignment="1" applyFont="1" applyNumberFormat="1">
      <alignment horizontal="center" vertical="center"/>
    </xf>
    <xf borderId="23" fillId="0" fontId="1" numFmtId="1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vertical="center"/>
    </xf>
    <xf borderId="11" fillId="0" fontId="1" numFmtId="1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center" vertical="center"/>
    </xf>
    <xf borderId="30" fillId="0" fontId="1" numFmtId="2" xfId="0" applyAlignment="1" applyBorder="1" applyFont="1" applyNumberFormat="1">
      <alignment horizontal="center" vertical="bottom"/>
    </xf>
    <xf borderId="16" fillId="5" fontId="9" numFmtId="0" xfId="0" applyAlignment="1" applyBorder="1" applyFont="1">
      <alignment horizontal="center" vertical="bottom"/>
    </xf>
    <xf borderId="31" fillId="0" fontId="3" numFmtId="0" xfId="0" applyBorder="1" applyFont="1"/>
    <xf borderId="22" fillId="0" fontId="1" numFmtId="2" xfId="0" applyAlignment="1" applyBorder="1" applyFont="1" applyNumberFormat="1">
      <alignment horizontal="center" vertical="bottom"/>
    </xf>
    <xf borderId="32" fillId="0" fontId="3" numFmtId="0" xfId="0" applyBorder="1" applyFont="1"/>
    <xf borderId="26" fillId="0" fontId="1" numFmtId="1" xfId="0" applyAlignment="1" applyBorder="1" applyFont="1" applyNumberFormat="1">
      <alignment horizontal="center" vertical="bottom"/>
    </xf>
    <xf borderId="30" fillId="0" fontId="1" numFmtId="0" xfId="0" applyAlignment="1" applyBorder="1" applyFont="1">
      <alignment horizontal="center" vertical="bottom"/>
    </xf>
    <xf borderId="0" fillId="4" fontId="9" numFmtId="1" xfId="0" applyAlignment="1" applyFont="1" applyNumberFormat="1">
      <alignment horizontal="center" vertical="bottom"/>
    </xf>
    <xf borderId="0" fillId="0" fontId="15" numFmtId="0" xfId="0" applyAlignment="1" applyFont="1">
      <alignment horizontal="center" vertical="bottom"/>
    </xf>
    <xf borderId="20" fillId="0" fontId="1" numFmtId="1" xfId="0" applyAlignment="1" applyBorder="1" applyFont="1" applyNumberFormat="1">
      <alignment horizontal="center" vertical="bottom"/>
    </xf>
    <xf borderId="15" fillId="0" fontId="1" numFmtId="1" xfId="0" applyAlignment="1" applyBorder="1" applyFont="1" applyNumberFormat="1">
      <alignment horizontal="center" vertical="bottom"/>
    </xf>
    <xf borderId="13" fillId="5" fontId="9" numFmtId="1" xfId="0" applyAlignment="1" applyBorder="1" applyFont="1" applyNumberFormat="1">
      <alignment horizontal="center" vertical="bottom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0" fillId="0" fontId="6" numFmtId="1" xfId="0" applyAlignment="1" applyFont="1" applyNumberFormat="1">
      <alignment horizontal="center" vertical="bottom"/>
    </xf>
    <xf borderId="24" fillId="0" fontId="1" numFmtId="2" xfId="0" applyAlignment="1" applyBorder="1" applyFont="1" applyNumberFormat="1">
      <alignment horizontal="center"/>
    </xf>
    <xf borderId="33" fillId="0" fontId="3" numFmtId="0" xfId="0" applyBorder="1" applyFont="1"/>
    <xf borderId="24" fillId="0" fontId="1" numFmtId="2" xfId="0" applyAlignment="1" applyBorder="1" applyFont="1" applyNumberFormat="1">
      <alignment horizontal="center" vertical="center"/>
    </xf>
    <xf borderId="23" fillId="0" fontId="1" numFmtId="2" xfId="0" applyAlignment="1" applyBorder="1" applyFont="1" applyNumberFormat="1">
      <alignment horizontal="center" vertical="bottom"/>
    </xf>
    <xf borderId="23" fillId="0" fontId="1" numFmtId="2" xfId="0" applyAlignment="1" applyBorder="1" applyFont="1" applyNumberFormat="1">
      <alignment horizontal="center" vertical="center"/>
    </xf>
    <xf borderId="16" fillId="0" fontId="1" numFmtId="2" xfId="0" applyAlignment="1" applyBorder="1" applyFont="1" applyNumberFormat="1">
      <alignment horizontal="center" vertical="bottom"/>
    </xf>
    <xf borderId="16" fillId="0" fontId="1" numFmtId="2" xfId="0" applyAlignment="1" applyBorder="1" applyFont="1" applyNumberFormat="1">
      <alignment horizontal="center" vertical="center"/>
    </xf>
    <xf borderId="0" fillId="4" fontId="9" numFmtId="2" xfId="0" applyAlignment="1" applyFont="1" applyNumberFormat="1">
      <alignment horizontal="center" vertical="bottom"/>
    </xf>
    <xf borderId="18" fillId="5" fontId="9" numFmtId="2" xfId="0" applyAlignment="1" applyBorder="1" applyFont="1" applyNumberFormat="1">
      <alignment horizontal="center" vertical="bottom"/>
    </xf>
    <xf borderId="10" fillId="5" fontId="9" numFmtId="2" xfId="0" applyAlignment="1" applyBorder="1" applyFont="1" applyNumberFormat="1">
      <alignment horizontal="center" vertical="bottom"/>
    </xf>
    <xf borderId="16" fillId="0" fontId="1" numFmtId="0" xfId="0" applyAlignment="1" applyBorder="1" applyFont="1">
      <alignment vertical="bottom"/>
    </xf>
    <xf borderId="16" fillId="0" fontId="1" numFmtId="0" xfId="0" applyAlignment="1" applyBorder="1" applyFont="1">
      <alignment vertical="center"/>
    </xf>
    <xf borderId="23" fillId="0" fontId="1" numFmtId="0" xfId="0" applyAlignment="1" applyBorder="1" applyFont="1">
      <alignment vertical="bottom"/>
    </xf>
    <xf borderId="23" fillId="0" fontId="1" numFmtId="0" xfId="0" applyAlignment="1" applyBorder="1" applyFont="1">
      <alignment vertical="center"/>
    </xf>
    <xf borderId="9" fillId="0" fontId="1" numFmtId="0" xfId="0" applyAlignment="1" applyBorder="1" applyFont="1">
      <alignment vertical="bottom"/>
    </xf>
    <xf borderId="10" fillId="0" fontId="9" numFmtId="0" xfId="0" applyAlignment="1" applyBorder="1" applyFont="1">
      <alignment horizontal="center" vertical="bottom"/>
    </xf>
    <xf borderId="10" fillId="0" fontId="1" numFmtId="0" xfId="0" applyAlignment="1" applyBorder="1" applyFont="1">
      <alignment vertical="bottom"/>
    </xf>
    <xf borderId="11" fillId="0" fontId="9" numFmtId="1" xfId="0" applyAlignment="1" applyBorder="1" applyFont="1" applyNumberFormat="1">
      <alignment horizontal="center" vertical="bottom"/>
    </xf>
    <xf borderId="13" fillId="0" fontId="13" numFmtId="1" xfId="0" applyAlignment="1" applyBorder="1" applyFont="1" applyNumberFormat="1">
      <alignment horizontal="center" vertical="bottom"/>
    </xf>
    <xf borderId="13" fillId="0" fontId="6" numFmtId="1" xfId="0" applyAlignment="1" applyBorder="1" applyFont="1" applyNumberFormat="1">
      <alignment horizontal="center" vertical="bottom"/>
    </xf>
    <xf borderId="15" fillId="0" fontId="1" numFmtId="0" xfId="0" applyAlignment="1" applyBorder="1" applyFont="1">
      <alignment vertical="bottom"/>
    </xf>
    <xf borderId="16" fillId="0" fontId="9" numFmtId="1" xfId="0" applyAlignment="1" applyBorder="1" applyFont="1" applyNumberFormat="1">
      <alignment horizontal="center" vertical="bottom"/>
    </xf>
    <xf borderId="19" fillId="0" fontId="13" numFmtId="1" xfId="0" applyAlignment="1" applyBorder="1" applyFont="1" applyNumberFormat="1">
      <alignment horizontal="center" vertical="bottom"/>
    </xf>
    <xf borderId="19" fillId="0" fontId="6" numFmtId="1" xfId="0" applyAlignment="1" applyBorder="1" applyFont="1" applyNumberFormat="1">
      <alignment horizontal="center" vertical="bottom"/>
    </xf>
    <xf borderId="22" fillId="0" fontId="9" numFmtId="0" xfId="0" applyAlignment="1" applyBorder="1" applyFont="1">
      <alignment horizontal="center" vertical="bottom"/>
    </xf>
    <xf borderId="22" fillId="0" fontId="1" numFmtId="0" xfId="0" applyAlignment="1" applyBorder="1" applyFont="1">
      <alignment vertical="bottom"/>
    </xf>
    <xf borderId="23" fillId="0" fontId="9" numFmtId="1" xfId="0" applyAlignment="1" applyBorder="1" applyFont="1" applyNumberFormat="1">
      <alignment horizontal="center" vertical="bottom"/>
    </xf>
    <xf borderId="26" fillId="0" fontId="6" numFmtId="1" xfId="0" applyAlignment="1" applyBorder="1" applyFont="1" applyNumberFormat="1">
      <alignment horizontal="center" vertical="bottom"/>
    </xf>
    <xf borderId="26" fillId="0" fontId="13" numFmtId="1" xfId="0" applyAlignment="1" applyBorder="1" applyFont="1" applyNumberFormat="1">
      <alignment horizontal="center" vertical="bottom"/>
    </xf>
    <xf borderId="10" fillId="0" fontId="1" numFmtId="0" xfId="0" applyAlignment="1" applyBorder="1" applyFont="1">
      <alignment vertical="center"/>
    </xf>
    <xf borderId="13" fillId="0" fontId="13" numFmtId="1" xfId="0" applyAlignment="1" applyBorder="1" applyFont="1" applyNumberFormat="1">
      <alignment horizontal="center" vertical="center"/>
    </xf>
    <xf borderId="22" fillId="0" fontId="1" numFmtId="0" xfId="0" applyAlignment="1" applyBorder="1" applyFont="1">
      <alignment vertical="center"/>
    </xf>
    <xf borderId="26" fillId="0" fontId="13" numFmtId="1" xfId="0" applyAlignment="1" applyBorder="1" applyFont="1" applyNumberFormat="1">
      <alignment horizontal="center" vertical="center"/>
    </xf>
    <xf borderId="9" fillId="5" fontId="9" numFmtId="0" xfId="0" applyAlignment="1" applyBorder="1" applyFont="1">
      <alignment horizontal="center" vertical="bottom"/>
    </xf>
    <xf borderId="34" fillId="5" fontId="9" numFmtId="0" xfId="0" applyAlignment="1" applyBorder="1" applyFont="1">
      <alignment horizontal="center" vertical="bottom"/>
    </xf>
    <xf borderId="12" fillId="5" fontId="9" numFmtId="0" xfId="0" applyAlignment="1" applyBorder="1" applyFont="1">
      <alignment horizontal="center" vertical="bottom"/>
    </xf>
    <xf borderId="35" fillId="0" fontId="1" numFmtId="1" xfId="0" applyAlignment="1" applyBorder="1" applyFont="1" applyNumberFormat="1">
      <alignment horizontal="center" vertical="bottom"/>
    </xf>
    <xf borderId="15" fillId="0" fontId="1" numFmtId="0" xfId="0" applyAlignment="1" applyBorder="1" applyFont="1">
      <alignment vertical="center"/>
    </xf>
    <xf borderId="19" fillId="0" fontId="13" numFmtId="1" xfId="0" applyAlignment="1" applyBorder="1" applyFont="1" applyNumberFormat="1">
      <alignment horizontal="center" vertical="center"/>
    </xf>
    <xf borderId="9" fillId="0" fontId="16" numFmtId="0" xfId="0" applyAlignment="1" applyBorder="1" applyFont="1">
      <alignment horizontal="center" vertical="center"/>
    </xf>
    <xf borderId="9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horizontal="center" vertical="center"/>
    </xf>
    <xf borderId="23" fillId="0" fontId="17" numFmtId="0" xfId="0" applyAlignment="1" applyBorder="1" applyFont="1">
      <alignment horizontal="center" vertical="center"/>
    </xf>
    <xf borderId="36" fillId="0" fontId="1" numFmtId="1" xfId="0" applyAlignment="1" applyBorder="1" applyFont="1" applyNumberFormat="1">
      <alignment horizontal="center" vertical="bottom"/>
    </xf>
    <xf borderId="37" fillId="5" fontId="9" numFmtId="0" xfId="0" applyAlignment="1" applyBorder="1" applyFont="1">
      <alignment horizontal="center" vertical="bottom"/>
    </xf>
    <xf borderId="38" fillId="0" fontId="3" numFmtId="0" xfId="0" applyBorder="1" applyFont="1"/>
    <xf borderId="39" fillId="0" fontId="3" numFmtId="0" xfId="0" applyBorder="1" applyFont="1"/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66675</xdr:rowOff>
    </xdr:from>
    <xdr:ext cx="2276475" cy="11906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66675</xdr:rowOff>
    </xdr:from>
    <xdr:ext cx="2276475" cy="11906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66675</xdr:rowOff>
    </xdr:from>
    <xdr:ext cx="2276475" cy="11906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rtystar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rtystar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rtystar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11.63"/>
    <col customWidth="1" min="3" max="3" width="10.88"/>
    <col customWidth="1" min="5" max="6" width="9.0"/>
    <col customWidth="1" min="7" max="7" width="3.88"/>
    <col customWidth="1" min="11" max="11" width="2.13"/>
    <col customWidth="1" min="15" max="15" width="2.63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2"/>
      <c r="Q1" s="2"/>
      <c r="R1" s="5"/>
    </row>
    <row r="2" ht="45.0" customHeight="1">
      <c r="A2" s="6"/>
      <c r="B2" s="7"/>
      <c r="C2" s="7"/>
      <c r="O2" s="8" t="s">
        <v>1</v>
      </c>
      <c r="R2" s="9"/>
    </row>
    <row r="3">
      <c r="A3" s="6"/>
      <c r="B3" s="7"/>
      <c r="C3" s="7"/>
      <c r="D3" s="10" t="s">
        <v>2</v>
      </c>
      <c r="O3" s="8" t="s">
        <v>3</v>
      </c>
      <c r="R3" s="9"/>
    </row>
    <row r="4">
      <c r="A4" s="6"/>
      <c r="B4" s="7"/>
      <c r="C4" s="7"/>
      <c r="D4" s="11" t="s">
        <v>4</v>
      </c>
      <c r="O4" s="12" t="s">
        <v>5</v>
      </c>
      <c r="R4" s="9"/>
    </row>
    <row r="5">
      <c r="A5" s="14" t="s">
        <v>7</v>
      </c>
      <c r="B5" s="15"/>
      <c r="C5" s="15"/>
      <c r="D5" s="16" t="s">
        <v>8</v>
      </c>
      <c r="E5" s="15"/>
      <c r="F5" s="15"/>
      <c r="G5" s="15"/>
      <c r="H5" s="15"/>
      <c r="I5" s="15"/>
      <c r="J5" s="15"/>
      <c r="K5" s="15"/>
      <c r="L5" s="15"/>
      <c r="M5" s="17" t="s">
        <v>9</v>
      </c>
      <c r="N5" s="15"/>
      <c r="O5" s="19" t="s">
        <v>10</v>
      </c>
      <c r="P5" s="15"/>
      <c r="Q5" s="15"/>
      <c r="R5" s="21"/>
    </row>
    <row r="6">
      <c r="A6" s="7"/>
      <c r="B6" s="7"/>
      <c r="C6" s="7"/>
      <c r="D6" s="7"/>
      <c r="E6" s="7"/>
      <c r="F6" s="7"/>
      <c r="G6" s="7"/>
      <c r="H6" s="22" t="s">
        <v>11</v>
      </c>
      <c r="I6" s="22" t="s">
        <v>12</v>
      </c>
      <c r="J6" s="22" t="s">
        <v>13</v>
      </c>
      <c r="K6" s="7"/>
      <c r="L6" s="7"/>
      <c r="M6" s="7"/>
      <c r="N6" s="7"/>
      <c r="O6" s="7"/>
      <c r="P6" s="7"/>
      <c r="Q6" s="11" t="str">
        <f>IFERROR(__xludf.DUMMYFUNCTION("IMPORTRANGE(""https://docs.google.com/spreadsheets/d/1_JtdCAW9ExAzKcl-srFPpHdbhC_1_xp_RGAf187YmUk/edit?gid=1985709448#gid=1985709448"",""PRINT USD!S6"")"),"24.07.2026")</f>
        <v>24.07.2026</v>
      </c>
    </row>
    <row r="7">
      <c r="A7" s="24" t="str">
        <f>IFERROR(__xludf.DUMMYFUNCTION("IMPORTRANGE(""https://docs.google.com/spreadsheets/d/1_JtdCAW9ExAzKcl-srFPpHdbhC_1_xp_RGAf187YmUk/edit?gid=1985709448#gid=1985709448"",""print usd!c7:T"")"),"")</f>
        <v/>
      </c>
      <c r="B7" s="25" t="str">
        <f>IFERROR(__xludf.DUMMYFUNCTION("""COMPUTED_VALUE"""),"ROUND DIAMOND")</f>
        <v>ROUND DIAMOND</v>
      </c>
      <c r="D7" s="24"/>
      <c r="E7" s="24" t="str">
        <f>IFERROR(__xludf.DUMMYFUNCTION("""COMPUTED_VALUE"""),"USD/CT")</f>
        <v>USD/CT</v>
      </c>
      <c r="F7" s="24" t="str">
        <f>IFERROR(__xludf.DUMMYFUNCTION("""COMPUTED_VALUE"""),"USD/CT")</f>
        <v>USD/CT</v>
      </c>
      <c r="G7" s="7"/>
      <c r="H7" s="7" t="str">
        <f>IFERROR(__xludf.DUMMYFUNCTION("""COMPUTED_VALUE"""),"FG COLOUR")</f>
        <v>FG COLOUR</v>
      </c>
      <c r="I7" s="7" t="str">
        <f>IFERROR(__xludf.DUMMYFUNCTION("""COMPUTED_VALUE"""),"VVS-VS")</f>
        <v>VVS-VS</v>
      </c>
      <c r="J7" s="7" t="str">
        <f>IFERROR(__xludf.DUMMYFUNCTION("""COMPUTED_VALUE"""),"CVD")</f>
        <v>CVD</v>
      </c>
      <c r="K7" s="7"/>
      <c r="L7" s="7"/>
      <c r="M7" s="7"/>
      <c r="N7" s="7"/>
      <c r="O7" s="7"/>
      <c r="P7" s="7"/>
      <c r="Q7" s="7"/>
      <c r="R7" s="7"/>
    </row>
    <row r="8">
      <c r="A8" s="30"/>
      <c r="B8" s="31" t="str">
        <f>IFERROR(__xludf.DUMMYFUNCTION("""COMPUTED_VALUE"""),"SEAVE SIZE")</f>
        <v>SEAVE SIZE</v>
      </c>
      <c r="C8" s="31" t="str">
        <f>IFERROR(__xludf.DUMMYFUNCTION("""COMPUTED_VALUE"""),"PTS")</f>
        <v>PTS</v>
      </c>
      <c r="D8" s="31" t="str">
        <f>IFERROR(__xludf.DUMMYFUNCTION("""COMPUTED_VALUE"""),"DIA. MM")</f>
        <v>DIA. MM</v>
      </c>
      <c r="E8" s="31" t="str">
        <f>IFERROR(__xludf.DUMMYFUNCTION("""COMPUTED_VALUE"""),"HPHT")</f>
        <v>HPHT</v>
      </c>
      <c r="F8" s="33" t="str">
        <f>IFERROR(__xludf.DUMMYFUNCTION("""COMPUTED_VALUE"""),"CVD")</f>
        <v>CVD</v>
      </c>
      <c r="G8" s="7"/>
      <c r="H8" s="26" t="str">
        <f>IFERROR(__xludf.DUMMYFUNCTION("""COMPUTED_VALUE"""),"FANCY SHAPES")</f>
        <v>FANCY SHAPES</v>
      </c>
      <c r="J8" s="7"/>
      <c r="K8" s="7"/>
      <c r="L8" s="7"/>
      <c r="M8" s="7"/>
      <c r="N8" s="7"/>
      <c r="O8" s="7"/>
      <c r="P8" s="7"/>
      <c r="Q8" s="7"/>
      <c r="R8" s="7"/>
    </row>
    <row r="9">
      <c r="A9" s="36" t="str">
        <f>IFERROR(__xludf.DUMMYFUNCTION("""COMPUTED_VALUE"""),"(-2)")</f>
        <v>(-2)</v>
      </c>
      <c r="B9" s="37" t="str">
        <f>IFERROR(__xludf.DUMMYFUNCTION("""COMPUTED_VALUE"""),"00000-0000")</f>
        <v>00000-0000</v>
      </c>
      <c r="C9" s="39">
        <f>IFERROR(__xludf.DUMMYFUNCTION("""COMPUTED_VALUE"""),0.002)</f>
        <v>0.002</v>
      </c>
      <c r="D9" s="39" t="str">
        <f>IFERROR(__xludf.DUMMYFUNCTION("""COMPUTED_VALUE"""),"0.70-0.80mm")</f>
        <v>0.70-0.80mm</v>
      </c>
      <c r="E9" s="41">
        <f>IFERROR(__xludf.DUMMYFUNCTION("""COMPUTED_VALUE"""),169.47368421052633)</f>
        <v>169.4736842</v>
      </c>
      <c r="F9" s="43">
        <f>IFERROR(__xludf.DUMMYFUNCTION("""COMPUTED_VALUE"""),182.82105263157894)</f>
        <v>182.8210526</v>
      </c>
      <c r="G9" s="7"/>
      <c r="H9" s="25" t="str">
        <f>IFERROR(__xludf.DUMMYFUNCTION("""COMPUTED_VALUE"""),"PEAR/水滴")</f>
        <v>PEAR/水滴</v>
      </c>
      <c r="K9" s="7"/>
      <c r="L9" s="25" t="str">
        <f>IFERROR(__xludf.DUMMYFUNCTION("""COMPUTED_VALUE"""),"PR/公主方")</f>
        <v>PR/公主方</v>
      </c>
      <c r="O9" s="7"/>
      <c r="P9" s="25" t="str">
        <f>IFERROR(__xludf.DUMMYFUNCTION("""COMPUTED_VALUE"""),"BUG/长方")</f>
        <v>BUG/长方</v>
      </c>
    </row>
    <row r="10">
      <c r="A10" s="45"/>
      <c r="B10" s="46" t="str">
        <f>IFERROR(__xludf.DUMMYFUNCTION("""COMPUTED_VALUE"""),"0000-000")</f>
        <v>0000-000</v>
      </c>
      <c r="C10" s="47">
        <f>IFERROR(__xludf.DUMMYFUNCTION("""COMPUTED_VALUE"""),0.003)</f>
        <v>0.003</v>
      </c>
      <c r="D10" s="47" t="str">
        <f>IFERROR(__xludf.DUMMYFUNCTION("""COMPUTED_VALUE"""),"0.80-0.90mm")</f>
        <v>0.80-0.90mm</v>
      </c>
      <c r="E10" s="49">
        <f>IFERROR(__xludf.DUMMYFUNCTION("""COMPUTED_VALUE"""),133.68421052631578)</f>
        <v>133.6842105</v>
      </c>
      <c r="F10" s="52">
        <f>IFERROR(__xludf.DUMMYFUNCTION("""COMPUTED_VALUE"""),182.82105263157894)</f>
        <v>182.8210526</v>
      </c>
      <c r="G10" s="7"/>
      <c r="H10" s="51" t="str">
        <f>IFERROR(__xludf.DUMMYFUNCTION("""COMPUTED_VALUE"""),"MM SIZE W/L")</f>
        <v>MM SIZE W/L</v>
      </c>
      <c r="I10" s="53" t="str">
        <f>IFERROR(__xludf.DUMMYFUNCTION("""COMPUTED_VALUE"""),"PTS")</f>
        <v>PTS</v>
      </c>
      <c r="J10" s="54" t="str">
        <f>IFERROR(__xludf.DUMMYFUNCTION("""COMPUTED_VALUE"""),"USD/Ct.")</f>
        <v>USD/Ct.</v>
      </c>
      <c r="K10" s="7"/>
      <c r="L10" s="55" t="str">
        <f>IFERROR(__xludf.DUMMYFUNCTION("""COMPUTED_VALUE"""),"MM SIZE W/L")</f>
        <v>MM SIZE W/L</v>
      </c>
      <c r="M10" s="53" t="str">
        <f>IFERROR(__xludf.DUMMYFUNCTION("""COMPUTED_VALUE"""),"PTS")</f>
        <v>PTS</v>
      </c>
      <c r="N10" s="54" t="str">
        <f>IFERROR(__xludf.DUMMYFUNCTION("""COMPUTED_VALUE"""),"USD/Ct.")</f>
        <v>USD/Ct.</v>
      </c>
      <c r="O10" s="7"/>
      <c r="P10" s="51" t="str">
        <f>IFERROR(__xludf.DUMMYFUNCTION("""COMPUTED_VALUE"""),"MM SIZE W/L")</f>
        <v>MM SIZE W/L</v>
      </c>
      <c r="Q10" s="53" t="str">
        <f>IFERROR(__xludf.DUMMYFUNCTION("""COMPUTED_VALUE"""),"PTS")</f>
        <v>PTS</v>
      </c>
      <c r="R10" s="54" t="str">
        <f>IFERROR(__xludf.DUMMYFUNCTION("""COMPUTED_VALUE"""),"USD/Ct.")</f>
        <v>USD/Ct.</v>
      </c>
    </row>
    <row r="11">
      <c r="A11" s="45"/>
      <c r="B11" s="46" t="str">
        <f>IFERROR(__xludf.DUMMYFUNCTION("""COMPUTED_VALUE"""),"000-00")</f>
        <v>000-00</v>
      </c>
      <c r="C11" s="47">
        <f>IFERROR(__xludf.DUMMYFUNCTION("""COMPUTED_VALUE"""),0.004)</f>
        <v>0.004</v>
      </c>
      <c r="D11" s="47" t="str">
        <f>IFERROR(__xludf.DUMMYFUNCTION("""COMPUTED_VALUE"""),"0.90-1.00mm")</f>
        <v>0.90-1.00mm</v>
      </c>
      <c r="E11" s="49">
        <f>IFERROR(__xludf.DUMMYFUNCTION("""COMPUTED_VALUE"""),105.26315789473684)</f>
        <v>105.2631579</v>
      </c>
      <c r="F11" s="52">
        <f>IFERROR(__xludf.DUMMYFUNCTION("""COMPUTED_VALUE"""),138.50526315789475)</f>
        <v>138.5052632</v>
      </c>
      <c r="G11" s="7"/>
      <c r="H11" s="58" t="str">
        <f>IFERROR(__xludf.DUMMYFUNCTION("""COMPUTED_VALUE"""),"1.50*2.50")</f>
        <v>1.50*2.50</v>
      </c>
      <c r="I11" s="46" t="str">
        <f>IFERROR(__xludf.DUMMYFUNCTION("""COMPUTED_VALUE"""),"2 pt")</f>
        <v>2 pt</v>
      </c>
      <c r="J11" s="59">
        <f>IFERROR(__xludf.DUMMYFUNCTION("""COMPUTED_VALUE"""),125.26315789473684)</f>
        <v>125.2631579</v>
      </c>
      <c r="K11" s="7"/>
      <c r="L11" s="60" t="str">
        <f>IFERROR(__xludf.DUMMYFUNCTION("""COMPUTED_VALUE"""),"1.50*1.50")</f>
        <v>1.50*1.50</v>
      </c>
      <c r="M11" s="61" t="str">
        <f>IFERROR(__xludf.DUMMYFUNCTION("""COMPUTED_VALUE"""),"2 pt")</f>
        <v>2 pt</v>
      </c>
      <c r="N11" s="59">
        <f>IFERROR(__xludf.DUMMYFUNCTION("""COMPUTED_VALUE"""),90.52631578947368)</f>
        <v>90.52631579</v>
      </c>
      <c r="O11" s="7"/>
      <c r="P11" s="58" t="str">
        <f>IFERROR(__xludf.DUMMYFUNCTION("""COMPUTED_VALUE"""),"1.00*2.00")</f>
        <v>1.00*2.00</v>
      </c>
      <c r="Q11" s="46">
        <f>IFERROR(__xludf.DUMMYFUNCTION("""COMPUTED_VALUE"""),0.013)</f>
        <v>0.013</v>
      </c>
      <c r="R11" s="59">
        <f>IFERROR(__xludf.DUMMYFUNCTION("""COMPUTED_VALUE"""),77.89473684210526)</f>
        <v>77.89473684</v>
      </c>
    </row>
    <row r="12">
      <c r="A12" s="45"/>
      <c r="B12" s="46" t="str">
        <f>IFERROR(__xludf.DUMMYFUNCTION("""COMPUTED_VALUE"""),"00-0")</f>
        <v>00-0</v>
      </c>
      <c r="C12" s="47">
        <f>IFERROR(__xludf.DUMMYFUNCTION("""COMPUTED_VALUE"""),0.005)</f>
        <v>0.005</v>
      </c>
      <c r="D12" s="47" t="str">
        <f>IFERROR(__xludf.DUMMYFUNCTION("""COMPUTED_VALUE"""),"1.00-1.10mm")</f>
        <v>1.00-1.10mm</v>
      </c>
      <c r="E12" s="49">
        <f>IFERROR(__xludf.DUMMYFUNCTION("""COMPUTED_VALUE"""),88.42105263157895)</f>
        <v>88.42105263</v>
      </c>
      <c r="F12" s="52">
        <f>IFERROR(__xludf.DUMMYFUNCTION("""COMPUTED_VALUE"""),110.8)</f>
        <v>110.8</v>
      </c>
      <c r="G12" s="7"/>
      <c r="H12" s="58" t="str">
        <f>IFERROR(__xludf.DUMMYFUNCTION("""COMPUTED_VALUE"""),"1.80*2.80")</f>
        <v>1.80*2.80</v>
      </c>
      <c r="I12" s="46" t="str">
        <f>IFERROR(__xludf.DUMMYFUNCTION("""COMPUTED_VALUE"""),"3 pt")</f>
        <v>3 pt</v>
      </c>
      <c r="J12" s="59">
        <f>IFERROR(__xludf.DUMMYFUNCTION("""COMPUTED_VALUE"""),102.10526315789474)</f>
        <v>102.1052632</v>
      </c>
      <c r="K12" s="7"/>
      <c r="L12" s="60" t="str">
        <f>IFERROR(__xludf.DUMMYFUNCTION("""COMPUTED_VALUE"""),"1.80*1.80")</f>
        <v>1.80*1.80</v>
      </c>
      <c r="M12" s="61" t="str">
        <f>IFERROR(__xludf.DUMMYFUNCTION("""COMPUTED_VALUE"""),"4 pt")</f>
        <v>4 pt</v>
      </c>
      <c r="N12" s="59">
        <f>IFERROR(__xludf.DUMMYFUNCTION("""COMPUTED_VALUE"""),84.21052631578948)</f>
        <v>84.21052632</v>
      </c>
      <c r="O12" s="7"/>
      <c r="P12" s="58" t="str">
        <f>IFERROR(__xludf.DUMMYFUNCTION("""COMPUTED_VALUE"""),"1.50*2.00")</f>
        <v>1.50*2.00</v>
      </c>
      <c r="Q12" s="46" t="str">
        <f>IFERROR(__xludf.DUMMYFUNCTION("""COMPUTED_VALUE"""),"3 pt")</f>
        <v>3 pt</v>
      </c>
      <c r="R12" s="59">
        <f>IFERROR(__xludf.DUMMYFUNCTION("""COMPUTED_VALUE"""),74.73684210526316)</f>
        <v>74.73684211</v>
      </c>
    </row>
    <row r="13">
      <c r="A13" s="45"/>
      <c r="B13" s="46" t="str">
        <f>IFERROR(__xludf.DUMMYFUNCTION("""COMPUTED_VALUE"""),"0-1")</f>
        <v>0-1</v>
      </c>
      <c r="C13" s="47">
        <f>IFERROR(__xludf.DUMMYFUNCTION("""COMPUTED_VALUE"""),0.006)</f>
        <v>0.006</v>
      </c>
      <c r="D13" s="47" t="str">
        <f>IFERROR(__xludf.DUMMYFUNCTION("""COMPUTED_VALUE"""),"1.10-1.15mm")</f>
        <v>1.10-1.15mm</v>
      </c>
      <c r="E13" s="49">
        <f>IFERROR(__xludf.DUMMYFUNCTION("""COMPUTED_VALUE"""),81.05263157894737)</f>
        <v>81.05263158</v>
      </c>
      <c r="F13" s="52">
        <f>IFERROR(__xludf.DUMMYFUNCTION("""COMPUTED_VALUE"""),99.72631578947369)</f>
        <v>99.72631579</v>
      </c>
      <c r="G13" s="7"/>
      <c r="H13" s="58" t="str">
        <f>IFERROR(__xludf.DUMMYFUNCTION("""COMPUTED_VALUE"""),"2.00*3.00")</f>
        <v>2.00*3.00</v>
      </c>
      <c r="I13" s="46" t="str">
        <f>IFERROR(__xludf.DUMMYFUNCTION("""COMPUTED_VALUE"""),"5 pt")</f>
        <v>5 pt</v>
      </c>
      <c r="J13" s="59">
        <f>IFERROR(__xludf.DUMMYFUNCTION("""COMPUTED_VALUE"""),72.63157894736842)</f>
        <v>72.63157895</v>
      </c>
      <c r="K13" s="7"/>
      <c r="L13" s="60" t="str">
        <f>IFERROR(__xludf.DUMMYFUNCTION("""COMPUTED_VALUE"""),"2.00*2.00")</f>
        <v>2.00*2.00</v>
      </c>
      <c r="M13" s="61" t="str">
        <f>IFERROR(__xludf.DUMMYFUNCTION("""COMPUTED_VALUE"""),"6 pt")</f>
        <v>6 pt</v>
      </c>
      <c r="N13" s="59">
        <f>IFERROR(__xludf.DUMMYFUNCTION("""COMPUTED_VALUE"""),61.05263157894737)</f>
        <v>61.05263158</v>
      </c>
      <c r="O13" s="7"/>
      <c r="P13" s="60" t="str">
        <f>IFERROR(__xludf.DUMMYFUNCTION("""COMPUTED_VALUE"""),"1.50*2.50")</f>
        <v>1.50*2.50</v>
      </c>
      <c r="Q13" s="46" t="str">
        <f>IFERROR(__xludf.DUMMYFUNCTION("""COMPUTED_VALUE"""),"4 pt")</f>
        <v>4 pt</v>
      </c>
      <c r="R13" s="59">
        <f>IFERROR(__xludf.DUMMYFUNCTION("""COMPUTED_VALUE"""),56.8421052631579)</f>
        <v>56.84210526</v>
      </c>
    </row>
    <row r="14">
      <c r="A14" s="45"/>
      <c r="B14" s="46" t="str">
        <f>IFERROR(__xludf.DUMMYFUNCTION("""COMPUTED_VALUE"""),"1-1.5")</f>
        <v>1-1.5</v>
      </c>
      <c r="C14" s="47">
        <f>IFERROR(__xludf.DUMMYFUNCTION("""COMPUTED_VALUE"""),0.007)</f>
        <v>0.007</v>
      </c>
      <c r="D14" s="47" t="str">
        <f>IFERROR(__xludf.DUMMYFUNCTION("""COMPUTED_VALUE"""),"1.15-1.20mm")</f>
        <v>1.15-1.20mm</v>
      </c>
      <c r="E14" s="49">
        <f>IFERROR(__xludf.DUMMYFUNCTION("""COMPUTED_VALUE"""),64.21052631578948)</f>
        <v>64.21052632</v>
      </c>
      <c r="F14" s="52">
        <f>IFERROR(__xludf.DUMMYFUNCTION("""COMPUTED_VALUE"""),83.10526315789474)</f>
        <v>83.10526316</v>
      </c>
      <c r="G14" s="7"/>
      <c r="H14" s="58" t="str">
        <f>IFERROR(__xludf.DUMMYFUNCTION("""COMPUTED_VALUE"""),"2.20*3.20")</f>
        <v>2.20*3.20</v>
      </c>
      <c r="I14" s="46" t="str">
        <f>IFERROR(__xludf.DUMMYFUNCTION("""COMPUTED_VALUE"""),"6 pt")</f>
        <v>6 pt</v>
      </c>
      <c r="J14" s="59">
        <f>IFERROR(__xludf.DUMMYFUNCTION("""COMPUTED_VALUE"""),72.63157894736842)</f>
        <v>72.63157895</v>
      </c>
      <c r="K14" s="7"/>
      <c r="L14" s="60" t="str">
        <f>IFERROR(__xludf.DUMMYFUNCTION("""COMPUTED_VALUE"""),"2.50*2.50")</f>
        <v>2.50*2.50</v>
      </c>
      <c r="M14" s="61" t="str">
        <f>IFERROR(__xludf.DUMMYFUNCTION("""COMPUTED_VALUE"""),"10 pt")</f>
        <v>10 pt</v>
      </c>
      <c r="N14" s="59">
        <f>IFERROR(__xludf.DUMMYFUNCTION("""COMPUTED_VALUE"""),57.89473684210526)</f>
        <v>57.89473684</v>
      </c>
      <c r="O14" s="7"/>
      <c r="P14" s="60" t="str">
        <f>IFERROR(__xludf.DUMMYFUNCTION("""COMPUTED_VALUE"""),"1.50*3.00")</f>
        <v>1.50*3.00</v>
      </c>
      <c r="Q14" s="46" t="str">
        <f>IFERROR(__xludf.DUMMYFUNCTION("""COMPUTED_VALUE"""),"5 pt")</f>
        <v>5 pt</v>
      </c>
      <c r="R14" s="59">
        <f>IFERROR(__xludf.DUMMYFUNCTION("""COMPUTED_VALUE"""),56.8421052631579)</f>
        <v>56.84210526</v>
      </c>
    </row>
    <row r="15">
      <c r="A15" s="62"/>
      <c r="B15" s="63" t="str">
        <f>IFERROR(__xludf.DUMMYFUNCTION("""COMPUTED_VALUE"""),"1.5-2")</f>
        <v>1.5-2</v>
      </c>
      <c r="C15" s="64">
        <f>IFERROR(__xludf.DUMMYFUNCTION("""COMPUTED_VALUE"""),0.008)</f>
        <v>0.008</v>
      </c>
      <c r="D15" s="65" t="str">
        <f>IFERROR(__xludf.DUMMYFUNCTION("""COMPUTED_VALUE"""),"1.20-1.25mm")</f>
        <v>1.20-1.25mm</v>
      </c>
      <c r="E15" s="67">
        <f>IFERROR(__xludf.DUMMYFUNCTION("""COMPUTED_VALUE"""),77.89473684210526)</f>
        <v>77.89473684</v>
      </c>
      <c r="F15" s="69">
        <f>IFERROR(__xludf.DUMMYFUNCTION("""COMPUTED_VALUE"""),89.69473684210526)</f>
        <v>89.69473684</v>
      </c>
      <c r="G15" s="7"/>
      <c r="H15" s="58" t="str">
        <f>IFERROR(__xludf.DUMMYFUNCTION("""COMPUTED_VALUE"""),"2.00*3.50")</f>
        <v>2.00*3.50</v>
      </c>
      <c r="I15" s="46" t="str">
        <f>IFERROR(__xludf.DUMMYFUNCTION("""COMPUTED_VALUE"""),"6 pt")</f>
        <v>6 pt</v>
      </c>
      <c r="J15" s="59">
        <f>IFERROR(__xludf.DUMMYFUNCTION("""COMPUTED_VALUE"""),64.21052631578948)</f>
        <v>64.21052632</v>
      </c>
      <c r="K15" s="7"/>
      <c r="L15" s="60" t="str">
        <f>IFERROR(__xludf.DUMMYFUNCTION("""COMPUTED_VALUE"""),"2.80*2.80")</f>
        <v>2.80*2.80</v>
      </c>
      <c r="M15" s="61" t="str">
        <f>IFERROR(__xludf.DUMMYFUNCTION("""COMPUTED_VALUE"""),"15 pt")</f>
        <v>15 pt</v>
      </c>
      <c r="N15" s="59">
        <f>IFERROR(__xludf.DUMMYFUNCTION("""COMPUTED_VALUE"""),48.421052631578945)</f>
        <v>48.42105263</v>
      </c>
      <c r="O15" s="7"/>
      <c r="P15" s="58" t="str">
        <f>IFERROR(__xludf.DUMMYFUNCTION("""COMPUTED_VALUE"""),"1.50*3.50")</f>
        <v>1.50*3.50</v>
      </c>
      <c r="Q15" s="46" t="str">
        <f>IFERROR(__xludf.DUMMYFUNCTION("""COMPUTED_VALUE"""),"6  pt")</f>
        <v>6  pt</v>
      </c>
      <c r="R15" s="59">
        <f>IFERROR(__xludf.DUMMYFUNCTION("""COMPUTED_VALUE"""),66.3157894736842)</f>
        <v>66.31578947</v>
      </c>
    </row>
    <row r="16">
      <c r="A16" s="36" t="str">
        <f>IFERROR(__xludf.DUMMYFUNCTION("""COMPUTED_VALUE"""),"(2-6.5)")</f>
        <v>(2-6.5)</v>
      </c>
      <c r="B16" s="37" t="str">
        <f>IFERROR(__xludf.DUMMYFUNCTION("""COMPUTED_VALUE"""),"2-2.5")</f>
        <v>2-2.5</v>
      </c>
      <c r="C16" s="71">
        <f>IFERROR(__xludf.DUMMYFUNCTION("""COMPUTED_VALUE"""),0.01)</f>
        <v>0.01</v>
      </c>
      <c r="D16" s="73" t="str">
        <f>IFERROR(__xludf.DUMMYFUNCTION("""COMPUTED_VALUE"""),"1.25-1.30mm")</f>
        <v>1.25-1.30mm</v>
      </c>
      <c r="E16" s="75">
        <f>IFERROR(__xludf.DUMMYFUNCTION("""COMPUTED_VALUE"""),57.89473684210526)</f>
        <v>57.89473684</v>
      </c>
      <c r="F16" s="43">
        <f>IFERROR(__xludf.DUMMYFUNCTION("""COMPUTED_VALUE"""),79.77894736842106)</f>
        <v>79.77894737</v>
      </c>
      <c r="G16" s="7"/>
      <c r="H16" s="58" t="str">
        <f>IFERROR(__xludf.DUMMYFUNCTION("""COMPUTED_VALUE"""),"2.50*3.50")</f>
        <v>2.50*3.50</v>
      </c>
      <c r="I16" s="46" t="str">
        <f>IFERROR(__xludf.DUMMYFUNCTION("""COMPUTED_VALUE"""),"8 pt")</f>
        <v>8 pt</v>
      </c>
      <c r="J16" s="59">
        <f>IFERROR(__xludf.DUMMYFUNCTION("""COMPUTED_VALUE"""),56.8421052631579)</f>
        <v>56.84210526</v>
      </c>
      <c r="K16" s="7"/>
      <c r="L16" s="60" t="str">
        <f>IFERROR(__xludf.DUMMYFUNCTION("""COMPUTED_VALUE"""),"3.05*3.05")</f>
        <v>3.05*3.05</v>
      </c>
      <c r="M16" s="61" t="str">
        <f>IFERROR(__xludf.DUMMYFUNCTION("""COMPUTED_VALUE"""),"20 pt")</f>
        <v>20 pt</v>
      </c>
      <c r="N16" s="59">
        <f>IFERROR(__xludf.DUMMYFUNCTION("""COMPUTED_VALUE"""),64.21052631578948)</f>
        <v>64.21052632</v>
      </c>
      <c r="O16" s="7"/>
      <c r="P16" s="60" t="str">
        <f>IFERROR(__xludf.DUMMYFUNCTION("""COMPUTED_VALUE"""),"2.00*3.00")</f>
        <v>2.00*3.00</v>
      </c>
      <c r="Q16" s="46" t="str">
        <f>IFERROR(__xludf.DUMMYFUNCTION("""COMPUTED_VALUE"""),"9 pt")</f>
        <v>9 pt</v>
      </c>
      <c r="R16" s="59">
        <f>IFERROR(__xludf.DUMMYFUNCTION("""COMPUTED_VALUE"""),64.21052631578948)</f>
        <v>64.21052632</v>
      </c>
    </row>
    <row r="17">
      <c r="A17" s="45"/>
      <c r="B17" s="46" t="str">
        <f>IFERROR(__xludf.DUMMYFUNCTION("""COMPUTED_VALUE"""),"2.5-3")</f>
        <v>2.5-3</v>
      </c>
      <c r="C17" s="76"/>
      <c r="D17" s="79" t="str">
        <f>IFERROR(__xludf.DUMMYFUNCTION("""COMPUTED_VALUE"""),"1.20-1.35mm")</f>
        <v>1.20-1.35mm</v>
      </c>
      <c r="E17" s="81">
        <f>IFERROR(__xludf.DUMMYFUNCTION("""COMPUTED_VALUE"""),57.89473684210526)</f>
        <v>57.89473684</v>
      </c>
      <c r="F17" s="52">
        <f>IFERROR(__xludf.DUMMYFUNCTION("""COMPUTED_VALUE"""),66.48421052631579)</f>
        <v>66.48421053</v>
      </c>
      <c r="G17" s="7"/>
      <c r="H17" s="58" t="str">
        <f>IFERROR(__xludf.DUMMYFUNCTION("""COMPUTED_VALUE"""),"2.50*4.00")</f>
        <v>2.50*4.00</v>
      </c>
      <c r="I17" s="46" t="str">
        <f>IFERROR(__xludf.DUMMYFUNCTION("""COMPUTED_VALUE"""),"10 pt")</f>
        <v>10 pt</v>
      </c>
      <c r="J17" s="59">
        <f>IFERROR(__xludf.DUMMYFUNCTION("""COMPUTED_VALUE"""),54.73684210526316)</f>
        <v>54.73684211</v>
      </c>
      <c r="K17" s="7"/>
      <c r="L17" s="60" t="str">
        <f>IFERROR(__xludf.DUMMYFUNCTION("""COMPUTED_VALUE"""),"3.15*3.15")</f>
        <v>3.15*3.15</v>
      </c>
      <c r="M17" s="61" t="str">
        <f>IFERROR(__xludf.DUMMYFUNCTION("""COMPUTED_VALUE"""),"21 pt")</f>
        <v>21 pt</v>
      </c>
      <c r="N17" s="59">
        <f>IFERROR(__xludf.DUMMYFUNCTION("""COMPUTED_VALUE"""),64.21052631578948)</f>
        <v>64.21052632</v>
      </c>
      <c r="O17" s="7"/>
      <c r="P17" s="60" t="str">
        <f>IFERROR(__xludf.DUMMYFUNCTION("""COMPUTED_VALUE"""),"2.00*3.50")</f>
        <v>2.00*3.50</v>
      </c>
      <c r="Q17" s="46" t="str">
        <f>IFERROR(__xludf.DUMMYFUNCTION("""COMPUTED_VALUE"""),"10 pt")</f>
        <v>10 pt</v>
      </c>
      <c r="R17" s="59">
        <f>IFERROR(__xludf.DUMMYFUNCTION("""COMPUTED_VALUE"""),64.21052631578948)</f>
        <v>64.21052632</v>
      </c>
    </row>
    <row r="18">
      <c r="A18" s="45"/>
      <c r="B18" s="46" t="str">
        <f>IFERROR(__xludf.DUMMYFUNCTION("""COMPUTED_VALUE"""),"3-3.5")</f>
        <v>3-3.5</v>
      </c>
      <c r="C18" s="72">
        <f>IFERROR(__xludf.DUMMYFUNCTION("""COMPUTED_VALUE"""),0.012)</f>
        <v>0.012</v>
      </c>
      <c r="D18" s="79" t="str">
        <f>IFERROR(__xludf.DUMMYFUNCTION("""COMPUTED_VALUE"""),"1.35-1.40mm")</f>
        <v>1.35-1.40mm</v>
      </c>
      <c r="E18" s="81">
        <f>IFERROR(__xludf.DUMMYFUNCTION("""COMPUTED_VALUE"""),42.10526315789474)</f>
        <v>42.10526316</v>
      </c>
      <c r="F18" s="52">
        <f>IFERROR(__xludf.DUMMYFUNCTION("""COMPUTED_VALUE"""),55.4)</f>
        <v>55.4</v>
      </c>
      <c r="G18" s="7"/>
      <c r="H18" s="58" t="str">
        <f>IFERROR(__xludf.DUMMYFUNCTION("""COMPUTED_VALUE"""),"3.00*4.00")</f>
        <v>3.00*4.00</v>
      </c>
      <c r="I18" s="46" t="str">
        <f>IFERROR(__xludf.DUMMYFUNCTION("""COMPUTED_VALUE"""),"14 pt")</f>
        <v>14 pt</v>
      </c>
      <c r="J18" s="59">
        <f>IFERROR(__xludf.DUMMYFUNCTION("""COMPUTED_VALUE"""),60.0)</f>
        <v>60</v>
      </c>
      <c r="K18" s="7"/>
      <c r="L18" s="60" t="str">
        <f>IFERROR(__xludf.DUMMYFUNCTION("""COMPUTED_VALUE"""),"3.30*3.30")</f>
        <v>3.30*3.30</v>
      </c>
      <c r="M18" s="61" t="str">
        <f>IFERROR(__xludf.DUMMYFUNCTION("""COMPUTED_VALUE"""),"25 pt")</f>
        <v>25 pt</v>
      </c>
      <c r="N18" s="59">
        <f>IFERROR(__xludf.DUMMYFUNCTION("""COMPUTED_VALUE"""),64.21052631578948)</f>
        <v>64.21052632</v>
      </c>
      <c r="O18" s="7"/>
      <c r="P18" s="60" t="str">
        <f>IFERROR(__xludf.DUMMYFUNCTION("""COMPUTED_VALUE"""),"2.00*4.00")</f>
        <v>2.00*4.00</v>
      </c>
      <c r="Q18" s="46" t="str">
        <f>IFERROR(__xludf.DUMMYFUNCTION("""COMPUTED_VALUE"""),"11 pt")</f>
        <v>11 pt</v>
      </c>
      <c r="R18" s="59">
        <f>IFERROR(__xludf.DUMMYFUNCTION("""COMPUTED_VALUE"""),64.21052631578948)</f>
        <v>64.21052632</v>
      </c>
    </row>
    <row r="19">
      <c r="A19" s="45"/>
      <c r="B19" s="46" t="str">
        <f>IFERROR(__xludf.DUMMYFUNCTION("""COMPUTED_VALUE"""),"3.5-4")</f>
        <v>3.5-4</v>
      </c>
      <c r="C19" s="76"/>
      <c r="D19" s="79" t="str">
        <f>IFERROR(__xludf.DUMMYFUNCTION("""COMPUTED_VALUE"""),"1.40-1.45mm")</f>
        <v>1.40-1.45mm</v>
      </c>
      <c r="E19" s="81">
        <f>IFERROR(__xludf.DUMMYFUNCTION("""COMPUTED_VALUE"""),42.10526315789474)</f>
        <v>42.10526316</v>
      </c>
      <c r="F19" s="52">
        <f>IFERROR(__xludf.DUMMYFUNCTION("""COMPUTED_VALUE"""),55.4)</f>
        <v>55.4</v>
      </c>
      <c r="G19" s="7"/>
      <c r="H19" s="58" t="str">
        <f>IFERROR(__xludf.DUMMYFUNCTION("""COMPUTED_VALUE"""),"3.00*4.50")</f>
        <v>3.00*4.50</v>
      </c>
      <c r="I19" s="46" t="str">
        <f>IFERROR(__xludf.DUMMYFUNCTION("""COMPUTED_VALUE"""),"15 pt")</f>
        <v>15 pt</v>
      </c>
      <c r="J19" s="59">
        <f>IFERROR(__xludf.DUMMYFUNCTION("""COMPUTED_VALUE"""),60.0)</f>
        <v>60</v>
      </c>
      <c r="K19" s="7"/>
      <c r="L19" s="60" t="str">
        <f>IFERROR(__xludf.DUMMYFUNCTION("""COMPUTED_VALUE"""),"3.55*3.55")</f>
        <v>3.55*3.55</v>
      </c>
      <c r="M19" s="61" t="str">
        <f>IFERROR(__xludf.DUMMYFUNCTION("""COMPUTED_VALUE"""),"30 pt")</f>
        <v>30 pt</v>
      </c>
      <c r="N19" s="59">
        <f>IFERROR(__xludf.DUMMYFUNCTION("""COMPUTED_VALUE"""),68.42105263157895)</f>
        <v>68.42105263</v>
      </c>
      <c r="O19" s="7"/>
      <c r="P19" s="60" t="str">
        <f>IFERROR(__xludf.DUMMYFUNCTION("""COMPUTED_VALUE"""),"2.00*4.50")</f>
        <v>2.00*4.50</v>
      </c>
      <c r="Q19" s="46" t="str">
        <f>IFERROR(__xludf.DUMMYFUNCTION("""COMPUTED_VALUE"""),"12 pt")</f>
        <v>12 pt</v>
      </c>
      <c r="R19" s="59">
        <f>IFERROR(__xludf.DUMMYFUNCTION("""COMPUTED_VALUE"""),64.21052631578948)</f>
        <v>64.21052632</v>
      </c>
    </row>
    <row r="20">
      <c r="A20" s="45"/>
      <c r="B20" s="46" t="str">
        <f>IFERROR(__xludf.DUMMYFUNCTION("""COMPUTED_VALUE"""),"4-4.5")</f>
        <v>4-4.5</v>
      </c>
      <c r="C20" s="72">
        <f>IFERROR(__xludf.DUMMYFUNCTION("""COMPUTED_VALUE"""),0.015)</f>
        <v>0.015</v>
      </c>
      <c r="D20" s="79" t="str">
        <f>IFERROR(__xludf.DUMMYFUNCTION("""COMPUTED_VALUE"""),"1.45-1.55mm")</f>
        <v>1.45-1.55mm</v>
      </c>
      <c r="E20" s="81">
        <f>IFERROR(__xludf.DUMMYFUNCTION("""COMPUTED_VALUE"""),56.8421052631579)</f>
        <v>56.84210526</v>
      </c>
      <c r="F20" s="52">
        <f>IFERROR(__xludf.DUMMYFUNCTION("""COMPUTED_VALUE"""),72.02105263157895)</f>
        <v>72.02105263</v>
      </c>
      <c r="G20" s="7"/>
      <c r="H20" s="58" t="str">
        <f>IFERROR(__xludf.DUMMYFUNCTION("""COMPUTED_VALUE"""),"3.00*5.00")</f>
        <v>3.00*5.00</v>
      </c>
      <c r="I20" s="46" t="str">
        <f>IFERROR(__xludf.DUMMYFUNCTION("""COMPUTED_VALUE"""),"17 pt")</f>
        <v>17 pt</v>
      </c>
      <c r="J20" s="59">
        <f>IFERROR(__xludf.DUMMYFUNCTION("""COMPUTED_VALUE"""),63.1578947368421)</f>
        <v>63.15789474</v>
      </c>
      <c r="K20" s="7"/>
      <c r="L20" s="60" t="str">
        <f>IFERROR(__xludf.DUMMYFUNCTION("""COMPUTED_VALUE"""),"3.75*3.75")</f>
        <v>3.75*3.75</v>
      </c>
      <c r="M20" s="61" t="str">
        <f>IFERROR(__xludf.DUMMYFUNCTION("""COMPUTED_VALUE"""),"35 pt")</f>
        <v>35 pt</v>
      </c>
      <c r="N20" s="59">
        <f>IFERROR(__xludf.DUMMYFUNCTION("""COMPUTED_VALUE"""),64.21052631578948)</f>
        <v>64.21052632</v>
      </c>
      <c r="O20" s="7"/>
      <c r="P20" s="60" t="str">
        <f>IFERROR(__xludf.DUMMYFUNCTION("""COMPUTED_VALUE"""),"2.50*3.00")</f>
        <v>2.50*3.00</v>
      </c>
      <c r="Q20" s="46" t="str">
        <f>IFERROR(__xludf.DUMMYFUNCTION("""COMPUTED_VALUE"""),"13 pt")</f>
        <v>13 pt</v>
      </c>
      <c r="R20" s="59">
        <f>IFERROR(__xludf.DUMMYFUNCTION("""COMPUTED_VALUE"""),68.42105263157895)</f>
        <v>68.42105263</v>
      </c>
    </row>
    <row r="21">
      <c r="A21" s="45"/>
      <c r="B21" s="46" t="str">
        <f>IFERROR(__xludf.DUMMYFUNCTION("""COMPUTED_VALUE"""),"4.5-5")</f>
        <v>4.5-5</v>
      </c>
      <c r="C21" s="76"/>
      <c r="D21" s="85" t="str">
        <f>IFERROR(__xludf.DUMMYFUNCTION("""COMPUTED_VALUE"""),"1.50-1.55mm")</f>
        <v>1.50-1.55mm</v>
      </c>
      <c r="E21" s="86">
        <f>IFERROR(__xludf.DUMMYFUNCTION("""COMPUTED_VALUE"""),56.8421052631579)</f>
        <v>56.84210526</v>
      </c>
      <c r="F21" s="52">
        <f>IFERROR(__xludf.DUMMYFUNCTION("""COMPUTED_VALUE"""),72.02105263157895)</f>
        <v>72.02105263</v>
      </c>
      <c r="G21" s="7"/>
      <c r="H21" s="58" t="str">
        <f>IFERROR(__xludf.DUMMYFUNCTION("""COMPUTED_VALUE"""),"3.30*5.00")</f>
        <v>3.30*5.00</v>
      </c>
      <c r="I21" s="46" t="str">
        <f>IFERROR(__xludf.DUMMYFUNCTION("""COMPUTED_VALUE"""),"20 pt")</f>
        <v>20 pt</v>
      </c>
      <c r="J21" s="59">
        <f>IFERROR(__xludf.DUMMYFUNCTION("""COMPUTED_VALUE"""),60.0)</f>
        <v>60</v>
      </c>
      <c r="K21" s="7"/>
      <c r="L21" s="60" t="str">
        <f>IFERROR(__xludf.DUMMYFUNCTION("""COMPUTED_VALUE"""),"4.05*4.05")</f>
        <v>4.05*4.05</v>
      </c>
      <c r="M21" s="61" t="str">
        <f>IFERROR(__xludf.DUMMYFUNCTION("""COMPUTED_VALUE"""),"45 pt")</f>
        <v>45 pt</v>
      </c>
      <c r="N21" s="59">
        <f>IFERROR(__xludf.DUMMYFUNCTION("""COMPUTED_VALUE"""),69.47368421052632)</f>
        <v>69.47368421</v>
      </c>
      <c r="O21" s="7"/>
      <c r="P21" s="60" t="str">
        <f>IFERROR(__xludf.DUMMYFUNCTION("""COMPUTED_VALUE"""),"2.50*4.00")</f>
        <v>2.50*4.00</v>
      </c>
      <c r="Q21" s="46" t="str">
        <f>IFERROR(__xludf.DUMMYFUNCTION("""COMPUTED_VALUE"""),"17 pt")</f>
        <v>17 pt</v>
      </c>
      <c r="R21" s="59">
        <f>IFERROR(__xludf.DUMMYFUNCTION("""COMPUTED_VALUE"""),68.42105263157895)</f>
        <v>68.42105263</v>
      </c>
    </row>
    <row r="22">
      <c r="A22" s="45"/>
      <c r="B22" s="46" t="str">
        <f>IFERROR(__xludf.DUMMYFUNCTION("""COMPUTED_VALUE"""),"5-5.5")</f>
        <v>5-5.5</v>
      </c>
      <c r="C22" s="47">
        <f>IFERROR(__xludf.DUMMYFUNCTION("""COMPUTED_VALUE"""),0.016)</f>
        <v>0.016</v>
      </c>
      <c r="D22" s="47" t="str">
        <f>IFERROR(__xludf.DUMMYFUNCTION("""COMPUTED_VALUE"""),"1.55-1.60mm")</f>
        <v>1.55-1.60mm</v>
      </c>
      <c r="E22" s="49">
        <f>IFERROR(__xludf.DUMMYFUNCTION("""COMPUTED_VALUE"""),42.10526315789474)</f>
        <v>42.10526316</v>
      </c>
      <c r="F22" s="52">
        <f>IFERROR(__xludf.DUMMYFUNCTION("""COMPUTED_VALUE"""),55.4)</f>
        <v>55.4</v>
      </c>
      <c r="G22" s="7"/>
      <c r="H22" s="58" t="str">
        <f>IFERROR(__xludf.DUMMYFUNCTION("""COMPUTED_VALUE"""),"3.50*5.00")</f>
        <v>3.50*5.00</v>
      </c>
      <c r="I22" s="46" t="str">
        <f>IFERROR(__xludf.DUMMYFUNCTION("""COMPUTED_VALUE"""),"25 pt")</f>
        <v>25 pt</v>
      </c>
      <c r="J22" s="59">
        <f>IFERROR(__xludf.DUMMYFUNCTION("""COMPUTED_VALUE"""),70.52631578947368)</f>
        <v>70.52631579</v>
      </c>
      <c r="K22" s="7"/>
      <c r="L22" s="60" t="str">
        <f>IFERROR(__xludf.DUMMYFUNCTION("""COMPUTED_VALUE"""),"4.25*4.25")</f>
        <v>4.25*4.25</v>
      </c>
      <c r="M22" s="61" t="str">
        <f>IFERROR(__xludf.DUMMYFUNCTION("""COMPUTED_VALUE"""),"50 pt")</f>
        <v>50 pt</v>
      </c>
      <c r="N22" s="59">
        <f>IFERROR(__xludf.DUMMYFUNCTION("""COMPUTED_VALUE"""),72.63157894736842)</f>
        <v>72.63157895</v>
      </c>
      <c r="O22" s="7"/>
      <c r="P22" s="60" t="str">
        <f>IFERROR(__xludf.DUMMYFUNCTION("""COMPUTED_VALUE"""),"2.50*4.50")</f>
        <v>2.50*4.50</v>
      </c>
      <c r="Q22" s="46" t="str">
        <f>IFERROR(__xludf.DUMMYFUNCTION("""COMPUTED_VALUE"""),"19 pt")</f>
        <v>19 pt</v>
      </c>
      <c r="R22" s="59">
        <f>IFERROR(__xludf.DUMMYFUNCTION("""COMPUTED_VALUE"""),68.42105263157895)</f>
        <v>68.42105263</v>
      </c>
    </row>
    <row r="23">
      <c r="A23" s="45"/>
      <c r="B23" s="46" t="str">
        <f>IFERROR(__xludf.DUMMYFUNCTION("""COMPUTED_VALUE"""),"5.5-6")</f>
        <v>5.5-6</v>
      </c>
      <c r="C23" s="72">
        <f>IFERROR(__xludf.DUMMYFUNCTION("""COMPUTED_VALUE"""),0.02)</f>
        <v>0.02</v>
      </c>
      <c r="D23" s="47" t="str">
        <f>IFERROR(__xludf.DUMMYFUNCTION("""COMPUTED_VALUE"""),"1.60-1.70mm")</f>
        <v>1.60-1.70mm</v>
      </c>
      <c r="E23" s="49">
        <f>IFERROR(__xludf.DUMMYFUNCTION("""COMPUTED_VALUE"""),42.10526315789474)</f>
        <v>42.10526316</v>
      </c>
      <c r="F23" s="52">
        <f>IFERROR(__xludf.DUMMYFUNCTION("""COMPUTED_VALUE"""),55.4)</f>
        <v>55.4</v>
      </c>
      <c r="G23" s="7"/>
      <c r="H23" s="58" t="str">
        <f>IFERROR(__xludf.DUMMYFUNCTION("""COMPUTED_VALUE"""),"3.50*5.50")</f>
        <v>3.50*5.50</v>
      </c>
      <c r="I23" s="46" t="str">
        <f>IFERROR(__xludf.DUMMYFUNCTION("""COMPUTED_VALUE"""),"25 pt")</f>
        <v>25 pt</v>
      </c>
      <c r="J23" s="59">
        <f>IFERROR(__xludf.DUMMYFUNCTION("""COMPUTED_VALUE"""),60.0)</f>
        <v>60</v>
      </c>
      <c r="K23" s="7"/>
      <c r="L23" s="60" t="str">
        <f>IFERROR(__xludf.DUMMYFUNCTION("""COMPUTED_VALUE"""),"4.50*4.50")</f>
        <v>4.50*4.50</v>
      </c>
      <c r="M23" s="61" t="str">
        <f>IFERROR(__xludf.DUMMYFUNCTION("""COMPUTED_VALUE"""),"60 pt")</f>
        <v>60 pt</v>
      </c>
      <c r="N23" s="59">
        <f>IFERROR(__xludf.DUMMYFUNCTION("""COMPUTED_VALUE"""),63.1578947368421)</f>
        <v>63.15789474</v>
      </c>
      <c r="O23" s="7"/>
      <c r="P23" s="60" t="str">
        <f>IFERROR(__xludf.DUMMYFUNCTION("""COMPUTED_VALUE"""),"2.50*5.00")</f>
        <v>2.50*5.00</v>
      </c>
      <c r="Q23" s="46" t="str">
        <f>IFERROR(__xludf.DUMMYFUNCTION("""COMPUTED_VALUE"""),"21 pt")</f>
        <v>21 pt</v>
      </c>
      <c r="R23" s="59">
        <f>IFERROR(__xludf.DUMMYFUNCTION("""COMPUTED_VALUE"""),72.63157894736842)</f>
        <v>72.63157895</v>
      </c>
    </row>
    <row r="24">
      <c r="A24" s="62"/>
      <c r="B24" s="63" t="str">
        <f>IFERROR(__xludf.DUMMYFUNCTION("""COMPUTED_VALUE"""),"6-6.5")</f>
        <v>6-6.5</v>
      </c>
      <c r="C24" s="89"/>
      <c r="D24" s="64" t="str">
        <f>IFERROR(__xludf.DUMMYFUNCTION("""COMPUTED_VALUE"""),"1.70-1.80mm")</f>
        <v>1.70-1.80mm</v>
      </c>
      <c r="E24" s="66">
        <f>IFERROR(__xludf.DUMMYFUNCTION("""COMPUTED_VALUE"""),44.21052631578947)</f>
        <v>44.21052632</v>
      </c>
      <c r="F24" s="69">
        <f>IFERROR(__xludf.DUMMYFUNCTION("""COMPUTED_VALUE"""),55.4)</f>
        <v>55.4</v>
      </c>
      <c r="G24" s="7"/>
      <c r="H24" s="58" t="str">
        <f>IFERROR(__xludf.DUMMYFUNCTION("""COMPUTED_VALUE"""),"3.75*5.75")</f>
        <v>3.75*5.75</v>
      </c>
      <c r="I24" s="46" t="str">
        <f>IFERROR(__xludf.DUMMYFUNCTION("""COMPUTED_VALUE"""),"30 pt")</f>
        <v>30 pt</v>
      </c>
      <c r="J24" s="59">
        <f>IFERROR(__xludf.DUMMYFUNCTION("""COMPUTED_VALUE"""),66.3157894736842)</f>
        <v>66.31578947</v>
      </c>
      <c r="K24" s="7"/>
      <c r="L24" s="60" t="str">
        <f>IFERROR(__xludf.DUMMYFUNCTION("""COMPUTED_VALUE"""),"4.70*4.70")</f>
        <v>4.70*4.70</v>
      </c>
      <c r="M24" s="61" t="str">
        <f>IFERROR(__xludf.DUMMYFUNCTION("""COMPUTED_VALUE"""),"70 pt")</f>
        <v>70 pt</v>
      </c>
      <c r="N24" s="59">
        <f>IFERROR(__xludf.DUMMYFUNCTION("""COMPUTED_VALUE"""),63.1578947368421)</f>
        <v>63.15789474</v>
      </c>
      <c r="O24" s="7"/>
      <c r="P24" s="58" t="str">
        <f>IFERROR(__xludf.DUMMYFUNCTION("""COMPUTED_VALUE"""),"3.00*5.00")</f>
        <v>3.00*5.00</v>
      </c>
      <c r="Q24" s="46" t="str">
        <f>IFERROR(__xludf.DUMMYFUNCTION("""COMPUTED_VALUE"""),"30 pt")</f>
        <v>30 pt</v>
      </c>
      <c r="R24" s="59">
        <f>IFERROR(__xludf.DUMMYFUNCTION("""COMPUTED_VALUE"""),72.63157894736842)</f>
        <v>72.63157895</v>
      </c>
    </row>
    <row r="25">
      <c r="A25" s="36" t="str">
        <f>IFERROR(__xludf.DUMMYFUNCTION("""COMPUTED_VALUE"""),"(6.5-11)")</f>
        <v>(6.5-11)</v>
      </c>
      <c r="B25" s="37" t="str">
        <f>IFERROR(__xludf.DUMMYFUNCTION("""COMPUTED_VALUE"""),"6.5-7")</f>
        <v>6.5-7</v>
      </c>
      <c r="C25" s="39">
        <f>IFERROR(__xludf.DUMMYFUNCTION("""COMPUTED_VALUE"""),0.025)</f>
        <v>0.025</v>
      </c>
      <c r="D25" s="39" t="str">
        <f>IFERROR(__xludf.DUMMYFUNCTION("""COMPUTED_VALUE"""),"1.80-1.90mm")</f>
        <v>1.80-1.90mm</v>
      </c>
      <c r="E25" s="41">
        <f>IFERROR(__xludf.DUMMYFUNCTION("""COMPUTED_VALUE"""),41.05263157894737)</f>
        <v>41.05263158</v>
      </c>
      <c r="F25" s="43">
        <f>IFERROR(__xludf.DUMMYFUNCTION("""COMPUTED_VALUE"""),44.32631578947368)</f>
        <v>44.32631579</v>
      </c>
      <c r="G25" s="7"/>
      <c r="H25" s="58" t="str">
        <f>IFERROR(__xludf.DUMMYFUNCTION("""COMPUTED_VALUE"""),"4.00*5.00")</f>
        <v>4.00*5.00</v>
      </c>
      <c r="I25" s="46" t="str">
        <f>IFERROR(__xludf.DUMMYFUNCTION("""COMPUTED_VALUE"""),"30 pt")</f>
        <v>30 pt</v>
      </c>
      <c r="J25" s="59">
        <f>IFERROR(__xludf.DUMMYFUNCTION("""COMPUTED_VALUE"""),64.21052631578948)</f>
        <v>64.21052632</v>
      </c>
      <c r="K25" s="7"/>
      <c r="L25" s="60" t="str">
        <f>IFERROR(__xludf.DUMMYFUNCTION("""COMPUTED_VALUE"""),"5.00*5.00")</f>
        <v>5.00*5.00</v>
      </c>
      <c r="M25" s="61" t="str">
        <f>IFERROR(__xludf.DUMMYFUNCTION("""COMPUTED_VALUE"""),"85 pt")</f>
        <v>85 pt</v>
      </c>
      <c r="N25" s="59">
        <f>IFERROR(__xludf.DUMMYFUNCTION("""COMPUTED_VALUE"""),63.1578947368421)</f>
        <v>63.15789474</v>
      </c>
      <c r="O25" s="7"/>
      <c r="P25" s="58" t="str">
        <f>IFERROR(__xludf.DUMMYFUNCTION("""COMPUTED_VALUE"""),"3.50*5.00")</f>
        <v>3.50*5.00</v>
      </c>
      <c r="Q25" s="46" t="str">
        <f>IFERROR(__xludf.DUMMYFUNCTION("""COMPUTED_VALUE"""),"44 pt")</f>
        <v>44 pt</v>
      </c>
      <c r="R25" s="59">
        <f>IFERROR(__xludf.DUMMYFUNCTION("""COMPUTED_VALUE"""),85.26315789473684)</f>
        <v>85.26315789</v>
      </c>
    </row>
    <row r="26">
      <c r="A26" s="45"/>
      <c r="B26" s="46" t="str">
        <f>IFERROR(__xludf.DUMMYFUNCTION("""COMPUTED_VALUE"""),"7-7.5")</f>
        <v>7-7.5</v>
      </c>
      <c r="C26" s="72">
        <f>IFERROR(__xludf.DUMMYFUNCTION("""COMPUTED_VALUE"""),0.03)</f>
        <v>0.03</v>
      </c>
      <c r="D26" s="47" t="str">
        <f>IFERROR(__xludf.DUMMYFUNCTION("""COMPUTED_VALUE"""),"1.90-2.00mm")</f>
        <v>1.90-2.00mm</v>
      </c>
      <c r="E26" s="49">
        <f>IFERROR(__xludf.DUMMYFUNCTION("""COMPUTED_VALUE"""),41.05263157894737)</f>
        <v>41.05263158</v>
      </c>
      <c r="F26" s="52">
        <f>IFERROR(__xludf.DUMMYFUNCTION("""COMPUTED_VALUE"""),44.32631578947368)</f>
        <v>44.32631579</v>
      </c>
      <c r="G26" s="7"/>
      <c r="H26" s="58" t="str">
        <f>IFERROR(__xludf.DUMMYFUNCTION("""COMPUTED_VALUE"""),"4.00*6.00")</f>
        <v>4.00*6.00</v>
      </c>
      <c r="I26" s="46" t="str">
        <f>IFERROR(__xludf.DUMMYFUNCTION("""COMPUTED_VALUE"""),"37 pt")</f>
        <v>37 pt</v>
      </c>
      <c r="J26" s="59">
        <f>IFERROR(__xludf.DUMMYFUNCTION("""COMPUTED_VALUE"""),64.21052631578948)</f>
        <v>64.21052632</v>
      </c>
      <c r="K26" s="7"/>
      <c r="L26" s="60" t="str">
        <f>IFERROR(__xludf.DUMMYFUNCTION("""COMPUTED_VALUE"""),"5.30*5.30")</f>
        <v>5.30*5.30</v>
      </c>
      <c r="M26" s="61" t="str">
        <f>IFERROR(__xludf.DUMMYFUNCTION("""COMPUTED_VALUE"""),"1.00 ct")</f>
        <v>1.00 ct</v>
      </c>
      <c r="N26" s="59">
        <f>IFERROR(__xludf.DUMMYFUNCTION("""COMPUTED_VALUE"""),74.73684210526316)</f>
        <v>74.73684211</v>
      </c>
      <c r="O26" s="7"/>
      <c r="P26" s="58" t="str">
        <f>IFERROR(__xludf.DUMMYFUNCTION("""COMPUTED_VALUE"""),"3.00*5.50")</f>
        <v>3.00*5.50</v>
      </c>
      <c r="Q26" s="46" t="str">
        <f>IFERROR(__xludf.DUMMYFUNCTION("""COMPUTED_VALUE"""),"36 pt")</f>
        <v>36 pt</v>
      </c>
      <c r="R26" s="59">
        <f>IFERROR(__xludf.DUMMYFUNCTION("""COMPUTED_VALUE"""),85.26315789473684)</f>
        <v>85.26315789</v>
      </c>
    </row>
    <row r="27">
      <c r="A27" s="45"/>
      <c r="B27" s="46" t="str">
        <f>IFERROR(__xludf.DUMMYFUNCTION("""COMPUTED_VALUE"""),"7.5-8")</f>
        <v>7.5-8</v>
      </c>
      <c r="C27" s="76"/>
      <c r="D27" s="47" t="str">
        <f>IFERROR(__xludf.DUMMYFUNCTION("""COMPUTED_VALUE"""),"2.00-2.10mm")</f>
        <v>2.00-2.10mm</v>
      </c>
      <c r="E27" s="49">
        <f>IFERROR(__xludf.DUMMYFUNCTION("""COMPUTED_VALUE"""),41.05263157894737)</f>
        <v>41.05263158</v>
      </c>
      <c r="F27" s="52">
        <f>IFERROR(__xludf.DUMMYFUNCTION("""COMPUTED_VALUE"""),44.32631578947368)</f>
        <v>44.32631579</v>
      </c>
      <c r="G27" s="7"/>
      <c r="H27" s="58" t="str">
        <f>IFERROR(__xludf.DUMMYFUNCTION("""COMPUTED_VALUE"""),"4.20*6.30")</f>
        <v>4.20*6.30</v>
      </c>
      <c r="I27" s="46" t="str">
        <f>IFERROR(__xludf.DUMMYFUNCTION("""COMPUTED_VALUE"""),"40 pt")</f>
        <v>40 pt</v>
      </c>
      <c r="J27" s="59">
        <f>IFERROR(__xludf.DUMMYFUNCTION("""COMPUTED_VALUE"""),64.21052631578948)</f>
        <v>64.21052632</v>
      </c>
      <c r="K27" s="7"/>
      <c r="L27" s="60" t="str">
        <f>IFERROR(__xludf.DUMMYFUNCTION("""COMPUTED_VALUE"""),"5.50*5.50")</f>
        <v>5.50*5.50</v>
      </c>
      <c r="M27" s="61" t="str">
        <f>IFERROR(__xludf.DUMMYFUNCTION("""COMPUTED_VALUE"""),"1.15 ct")</f>
        <v>1.15 ct</v>
      </c>
      <c r="N27" s="59">
        <f>IFERROR(__xludf.DUMMYFUNCTION("""COMPUTED_VALUE"""),74.73684210526316)</f>
        <v>74.73684211</v>
      </c>
      <c r="O27" s="7"/>
      <c r="P27" s="58" t="str">
        <f>IFERROR(__xludf.DUMMYFUNCTION("""COMPUTED_VALUE"""),"3.00*6.00")</f>
        <v>3.00*6.00</v>
      </c>
      <c r="Q27" s="46" t="str">
        <f>IFERROR(__xludf.DUMMYFUNCTION("""COMPUTED_VALUE"""),"39 pt")</f>
        <v>39 pt</v>
      </c>
      <c r="R27" s="59">
        <f>IFERROR(__xludf.DUMMYFUNCTION("""COMPUTED_VALUE"""),85.26315789473684)</f>
        <v>85.26315789</v>
      </c>
    </row>
    <row r="28">
      <c r="A28" s="45"/>
      <c r="B28" s="46" t="str">
        <f>IFERROR(__xludf.DUMMYFUNCTION("""COMPUTED_VALUE"""),"8-8.5")</f>
        <v>8-8.5</v>
      </c>
      <c r="C28" s="47">
        <f>IFERROR(__xludf.DUMMYFUNCTION("""COMPUTED_VALUE"""),0.039)</f>
        <v>0.039</v>
      </c>
      <c r="D28" s="47" t="str">
        <f>IFERROR(__xludf.DUMMYFUNCTION("""COMPUTED_VALUE"""),"2.10-2.20mm")</f>
        <v>2.10-2.20mm</v>
      </c>
      <c r="E28" s="49">
        <f>IFERROR(__xludf.DUMMYFUNCTION("""COMPUTED_VALUE"""),37.89473684210526)</f>
        <v>37.89473684</v>
      </c>
      <c r="F28" s="52">
        <f>IFERROR(__xludf.DUMMYFUNCTION("""COMPUTED_VALUE"""),38.77894736842105)</f>
        <v>38.77894737</v>
      </c>
      <c r="G28" s="7"/>
      <c r="H28" s="58" t="str">
        <f>IFERROR(__xludf.DUMMYFUNCTION("""COMPUTED_VALUE"""),"4.50*6.80")</f>
        <v>4.50*6.80</v>
      </c>
      <c r="I28" s="46" t="str">
        <f>IFERROR(__xludf.DUMMYFUNCTION("""COMPUTED_VALUE"""),"50 pt")</f>
        <v>50 pt</v>
      </c>
      <c r="J28" s="59">
        <f>IFERROR(__xludf.DUMMYFUNCTION("""COMPUTED_VALUE"""),64.21052631578948)</f>
        <v>64.21052632</v>
      </c>
      <c r="K28" s="7"/>
      <c r="L28" s="60" t="str">
        <f>IFERROR(__xludf.DUMMYFUNCTION("""COMPUTED_VALUE"""),"6.00*6.00")</f>
        <v>6.00*6.00</v>
      </c>
      <c r="M28" s="61" t="str">
        <f>IFERROR(__xludf.DUMMYFUNCTION("""COMPUTED_VALUE"""),"1.25 ct")</f>
        <v>1.25 ct</v>
      </c>
      <c r="N28" s="59">
        <f>IFERROR(__xludf.DUMMYFUNCTION("""COMPUTED_VALUE"""),81.05263157894737)</f>
        <v>81.05263158</v>
      </c>
      <c r="O28" s="7"/>
      <c r="P28" s="58" t="str">
        <f>IFERROR(__xludf.DUMMYFUNCTION("""COMPUTED_VALUE"""),"4.00*6.00")</f>
        <v>4.00*6.00</v>
      </c>
      <c r="Q28" s="46" t="str">
        <f>IFERROR(__xludf.DUMMYFUNCTION("""COMPUTED_VALUE"""),"70 pt")</f>
        <v>70 pt</v>
      </c>
      <c r="R28" s="59">
        <f>IFERROR(__xludf.DUMMYFUNCTION("""COMPUTED_VALUE"""),85.26315789473684)</f>
        <v>85.26315789</v>
      </c>
    </row>
    <row r="29">
      <c r="A29" s="45"/>
      <c r="B29" s="46" t="str">
        <f>IFERROR(__xludf.DUMMYFUNCTION("""COMPUTED_VALUE"""),"8.5-9")</f>
        <v>8.5-9</v>
      </c>
      <c r="C29" s="47">
        <f>IFERROR(__xludf.DUMMYFUNCTION("""COMPUTED_VALUE"""),0.044)</f>
        <v>0.044</v>
      </c>
      <c r="D29" s="47" t="str">
        <f>IFERROR(__xludf.DUMMYFUNCTION("""COMPUTED_VALUE"""),"2.20-2.30mm")</f>
        <v>2.20-2.30mm</v>
      </c>
      <c r="E29" s="49">
        <f>IFERROR(__xludf.DUMMYFUNCTION("""COMPUTED_VALUE"""),36.8421052631579)</f>
        <v>36.84210526</v>
      </c>
      <c r="F29" s="52">
        <f>IFERROR(__xludf.DUMMYFUNCTION("""COMPUTED_VALUE"""),36.56842105263158)</f>
        <v>36.56842105</v>
      </c>
      <c r="G29" s="7"/>
      <c r="H29" s="58" t="str">
        <f>IFERROR(__xludf.DUMMYFUNCTION("""COMPUTED_VALUE"""),"4.40*7.00")</f>
        <v>4.40*7.00</v>
      </c>
      <c r="I29" s="46" t="str">
        <f>IFERROR(__xludf.DUMMYFUNCTION("""COMPUTED_VALUE"""),"60 pt")</f>
        <v>60 pt</v>
      </c>
      <c r="J29" s="59">
        <f>IFERROR(__xludf.DUMMYFUNCTION("""COMPUTED_VALUE"""),64.21052631578948)</f>
        <v>64.21052632</v>
      </c>
      <c r="K29" s="7"/>
      <c r="L29" s="96" t="str">
        <f>IFERROR(__xludf.DUMMYFUNCTION("""COMPUTED_VALUE"""),"6.30*6.30")</f>
        <v>6.30*6.30</v>
      </c>
      <c r="M29" s="99" t="str">
        <f>IFERROR(__xludf.DUMMYFUNCTION("""COMPUTED_VALUE"""),"1.50 ct")</f>
        <v>1.50 ct</v>
      </c>
      <c r="N29" s="101">
        <f>IFERROR(__xludf.DUMMYFUNCTION("""COMPUTED_VALUE"""),88.42105263157895)</f>
        <v>88.42105263</v>
      </c>
      <c r="O29" s="7"/>
      <c r="P29" s="102" t="str">
        <f>IFERROR(__xludf.DUMMYFUNCTION("""COMPUTED_VALUE"""),"3.5*6.50")</f>
        <v>3.5*6.50</v>
      </c>
      <c r="Q29" s="63" t="str">
        <f>IFERROR(__xludf.DUMMYFUNCTION("""COMPUTED_VALUE"""),"58 pt")</f>
        <v>58 pt</v>
      </c>
      <c r="R29" s="101">
        <f>IFERROR(__xludf.DUMMYFUNCTION("""COMPUTED_VALUE"""),85.26315789473684)</f>
        <v>85.26315789</v>
      </c>
    </row>
    <row r="30">
      <c r="A30" s="45"/>
      <c r="B30" s="46" t="str">
        <f>IFERROR(__xludf.DUMMYFUNCTION("""COMPUTED_VALUE"""),"9-9.5")</f>
        <v>9-9.5</v>
      </c>
      <c r="C30" s="47">
        <f>IFERROR(__xludf.DUMMYFUNCTION("""COMPUTED_VALUE"""),0.052)</f>
        <v>0.052</v>
      </c>
      <c r="D30" s="47" t="str">
        <f>IFERROR(__xludf.DUMMYFUNCTION("""COMPUTED_VALUE"""),"2.30-2.40mm")</f>
        <v>2.30-2.40mm</v>
      </c>
      <c r="E30" s="49">
        <f>IFERROR(__xludf.DUMMYFUNCTION("""COMPUTED_VALUE"""),36.8421052631579)</f>
        <v>36.84210526</v>
      </c>
      <c r="F30" s="52">
        <f>IFERROR(__xludf.DUMMYFUNCTION("""COMPUTED_VALUE"""),36.56842105263158)</f>
        <v>36.56842105</v>
      </c>
      <c r="G30" s="7"/>
      <c r="H30" s="58" t="str">
        <f>IFERROR(__xludf.DUMMYFUNCTION("""COMPUTED_VALUE"""),"5.00*7.00")</f>
        <v>5.00*7.00</v>
      </c>
      <c r="I30" s="46" t="str">
        <f>IFERROR(__xludf.DUMMYFUNCTION("""COMPUTED_VALUE"""),"65 pt")</f>
        <v>65 pt</v>
      </c>
      <c r="J30" s="59">
        <f>IFERROR(__xludf.DUMMYFUNCTION("""COMPUTED_VALUE"""),64.21052631578948)</f>
        <v>64.21052632</v>
      </c>
      <c r="K30" s="7"/>
      <c r="L30" s="103" t="str">
        <f>IFERROR(__xludf.DUMMYFUNCTION("""COMPUTED_VALUE"""),"EM/祖母绿")</f>
        <v>EM/祖母绿</v>
      </c>
      <c r="O30" s="7"/>
      <c r="P30" s="24" t="str">
        <f>IFERROR(__xludf.DUMMYFUNCTION("""COMPUTED_VALUE"""),"TAP/梯方")</f>
        <v>TAP/梯方</v>
      </c>
      <c r="Q30" s="25"/>
      <c r="R30" s="24"/>
    </row>
    <row r="31">
      <c r="A31" s="45"/>
      <c r="B31" s="46" t="str">
        <f>IFERROR(__xludf.DUMMYFUNCTION("""COMPUTED_VALUE"""),"9.5-10")</f>
        <v>9.5-10</v>
      </c>
      <c r="C31" s="47">
        <f>IFERROR(__xludf.DUMMYFUNCTION("""COMPUTED_VALUE"""),0.058)</f>
        <v>0.058</v>
      </c>
      <c r="D31" s="47" t="str">
        <f>IFERROR(__xludf.DUMMYFUNCTION("""COMPUTED_VALUE"""),"2.40-2.50mm")</f>
        <v>2.40-2.50mm</v>
      </c>
      <c r="E31" s="49">
        <f>IFERROR(__xludf.DUMMYFUNCTION("""COMPUTED_VALUE"""),37.89473684210526)</f>
        <v>37.89473684</v>
      </c>
      <c r="F31" s="52">
        <f>IFERROR(__xludf.DUMMYFUNCTION("""COMPUTED_VALUE"""),36.56842105263158)</f>
        <v>36.56842105</v>
      </c>
      <c r="G31" s="7"/>
      <c r="H31" s="102" t="str">
        <f>IFERROR(__xludf.DUMMYFUNCTION("""COMPUTED_VALUE"""),"5.05*7.55")</f>
        <v>5.05*7.55</v>
      </c>
      <c r="I31" s="63" t="str">
        <f>IFERROR(__xludf.DUMMYFUNCTION("""COMPUTED_VALUE"""),"70 pt")</f>
        <v>70 pt</v>
      </c>
      <c r="J31" s="101">
        <f>IFERROR(__xludf.DUMMYFUNCTION("""COMPUTED_VALUE"""),64.21052631578948)</f>
        <v>64.21052632</v>
      </c>
      <c r="K31" s="7"/>
      <c r="L31" s="55" t="str">
        <f>IFERROR(__xludf.DUMMYFUNCTION("""COMPUTED_VALUE"""),"MM SIZE W/L")</f>
        <v>MM SIZE W/L</v>
      </c>
      <c r="M31" s="53" t="str">
        <f>IFERROR(__xludf.DUMMYFUNCTION("""COMPUTED_VALUE"""),"PTS")</f>
        <v>PTS</v>
      </c>
      <c r="N31" s="54" t="str">
        <f>IFERROR(__xludf.DUMMYFUNCTION("""COMPUTED_VALUE"""),"USD/Ct.")</f>
        <v>USD/Ct.</v>
      </c>
      <c r="O31" s="7"/>
      <c r="P31" s="51" t="str">
        <f>IFERROR(__xludf.DUMMYFUNCTION("""COMPUTED_VALUE"""),"MM SIZE W/L")</f>
        <v>MM SIZE W/L</v>
      </c>
      <c r="Q31" s="53" t="str">
        <f>IFERROR(__xludf.DUMMYFUNCTION("""COMPUTED_VALUE"""),"PTS")</f>
        <v>PTS</v>
      </c>
      <c r="R31" s="54" t="str">
        <f>IFERROR(__xludf.DUMMYFUNCTION("""COMPUTED_VALUE"""),"USD/Ct.")</f>
        <v>USD/Ct.</v>
      </c>
    </row>
    <row r="32">
      <c r="A32" s="45"/>
      <c r="B32" s="46" t="str">
        <f>IFERROR(__xludf.DUMMYFUNCTION("""COMPUTED_VALUE"""),"10-10.5")</f>
        <v>10-10.5</v>
      </c>
      <c r="C32" s="47">
        <f>IFERROR(__xludf.DUMMYFUNCTION("""COMPUTED_VALUE"""),0.069)</f>
        <v>0.069</v>
      </c>
      <c r="D32" s="47" t="str">
        <f>IFERROR(__xludf.DUMMYFUNCTION("""COMPUTED_VALUE"""),"2.50-2.60mm")</f>
        <v>2.50-2.60mm</v>
      </c>
      <c r="E32" s="49">
        <f>IFERROR(__xludf.DUMMYFUNCTION("""COMPUTED_VALUE"""),37.89473684210526)</f>
        <v>37.89473684</v>
      </c>
      <c r="F32" s="52">
        <f>IFERROR(__xludf.DUMMYFUNCTION("""COMPUTED_VALUE"""),42.10526315789474)</f>
        <v>42.10526316</v>
      </c>
      <c r="G32" s="7"/>
      <c r="H32" s="25" t="str">
        <f>IFERROR(__xludf.DUMMYFUNCTION("""COMPUTED_VALUE"""),"5.05*8.05")</f>
        <v>5.05*8.05</v>
      </c>
      <c r="K32" s="7"/>
      <c r="L32" s="105" t="str">
        <f>IFERROR(__xludf.DUMMYFUNCTION("""COMPUTED_VALUE"""),"2.00*3.00")</f>
        <v>2.00*3.00</v>
      </c>
      <c r="M32" s="106" t="str">
        <f>IFERROR(__xludf.DUMMYFUNCTION("""COMPUTED_VALUE"""),"8 pt")</f>
        <v>8 pt</v>
      </c>
      <c r="N32" s="59">
        <f>IFERROR(__xludf.DUMMYFUNCTION("""COMPUTED_VALUE"""),63.1578947368421)</f>
        <v>63.15789474</v>
      </c>
      <c r="O32" s="7"/>
      <c r="P32" s="58" t="str">
        <f>IFERROR(__xludf.DUMMYFUNCTION("""COMPUTED_VALUE"""),"1.00*1.50*2.00")</f>
        <v>1.00*1.50*2.00</v>
      </c>
      <c r="Q32" s="46" t="str">
        <f>IFERROR(__xludf.DUMMYFUNCTION("""COMPUTED_VALUE"""),"2.5 pt")</f>
        <v>2.5 pt</v>
      </c>
      <c r="R32" s="59">
        <f>IFERROR(__xludf.DUMMYFUNCTION("""COMPUTED_VALUE"""),85.26315789473684)</f>
        <v>85.26315789</v>
      </c>
    </row>
    <row r="33">
      <c r="A33" s="62"/>
      <c r="B33" s="63" t="str">
        <f>IFERROR(__xludf.DUMMYFUNCTION("""COMPUTED_VALUE"""),"10.5-11")</f>
        <v>10.5-11</v>
      </c>
      <c r="C33" s="64">
        <f>IFERROR(__xludf.DUMMYFUNCTION("""COMPUTED_VALUE"""),0.074)</f>
        <v>0.074</v>
      </c>
      <c r="D33" s="64" t="str">
        <f>IFERROR(__xludf.DUMMYFUNCTION("""COMPUTED_VALUE"""),"2.60-2.70mm")</f>
        <v>2.60-2.70mm</v>
      </c>
      <c r="E33" s="66">
        <f>IFERROR(__xludf.DUMMYFUNCTION("""COMPUTED_VALUE"""),35.78947368421053)</f>
        <v>35.78947368</v>
      </c>
      <c r="F33" s="69">
        <f>IFERROR(__xludf.DUMMYFUNCTION("""COMPUTED_VALUE"""),36.56842105263158)</f>
        <v>36.56842105</v>
      </c>
      <c r="G33" s="7"/>
      <c r="H33" s="51" t="str">
        <f>IFERROR(__xludf.DUMMYFUNCTION("""COMPUTED_VALUE"""),"5.70*8.50")</f>
        <v>5.70*8.50</v>
      </c>
      <c r="I33" s="53" t="str">
        <f>IFERROR(__xludf.DUMMYFUNCTION("""COMPUTED_VALUE"""),"1.00 ct")</f>
        <v>1.00 ct</v>
      </c>
      <c r="J33" s="107">
        <f>IFERROR(__xludf.DUMMYFUNCTION("""COMPUTED_VALUE"""),75.78947368421052)</f>
        <v>75.78947368</v>
      </c>
      <c r="K33" s="7"/>
      <c r="L33" s="105" t="str">
        <f>IFERROR(__xludf.DUMMYFUNCTION("""COMPUTED_VALUE"""),"2.30*3.10")</f>
        <v>2.30*3.10</v>
      </c>
      <c r="M33" s="106" t="str">
        <f>IFERROR(__xludf.DUMMYFUNCTION("""COMPUTED_VALUE"""),"10 pt")</f>
        <v>10 pt</v>
      </c>
      <c r="N33" s="59">
        <f>IFERROR(__xludf.DUMMYFUNCTION("""COMPUTED_VALUE"""),63.1578947368421)</f>
        <v>63.15789474</v>
      </c>
      <c r="O33" s="7"/>
      <c r="P33" s="58" t="str">
        <f>IFERROR(__xludf.DUMMYFUNCTION("""COMPUTED_VALUE"""),"1.00*1.50*2.50")</f>
        <v>1.00*1.50*2.50</v>
      </c>
      <c r="Q33" s="46" t="str">
        <f>IFERROR(__xludf.DUMMYFUNCTION("""COMPUTED_VALUE"""),"3 pt")</f>
        <v>3 pt</v>
      </c>
      <c r="R33" s="59">
        <f>IFERROR(__xludf.DUMMYFUNCTION("""COMPUTED_VALUE"""),85.26315789473684)</f>
        <v>85.26315789</v>
      </c>
    </row>
    <row r="34">
      <c r="A34" s="36" t="str">
        <f>IFERROR(__xludf.DUMMYFUNCTION("""COMPUTED_VALUE"""),"(11-14)")</f>
        <v>(11-14)</v>
      </c>
      <c r="B34" s="37" t="str">
        <f>IFERROR(__xludf.DUMMYFUNCTION("""COMPUTED_VALUE"""),"11-11.5")</f>
        <v>11-11.5</v>
      </c>
      <c r="C34" s="39">
        <f>IFERROR(__xludf.DUMMYFUNCTION("""COMPUTED_VALUE"""),0.078)</f>
        <v>0.078</v>
      </c>
      <c r="D34" s="39" t="str">
        <f>IFERROR(__xludf.DUMMYFUNCTION("""COMPUTED_VALUE"""),"2.70-2.80mm")</f>
        <v>2.70-2.80mm</v>
      </c>
      <c r="E34" s="41">
        <f>IFERROR(__xludf.DUMMYFUNCTION("""COMPUTED_VALUE"""),34.73684210526316)</f>
        <v>34.73684211</v>
      </c>
      <c r="F34" s="43">
        <f>IFERROR(__xludf.DUMMYFUNCTION("""COMPUTED_VALUE"""),46.536842105263155)</f>
        <v>46.53684211</v>
      </c>
      <c r="G34" s="7"/>
      <c r="H34" s="58" t="str">
        <f>IFERROR(__xludf.DUMMYFUNCTION("""COMPUTED_VALUE"""),"MQ/马眼")</f>
        <v>MQ/马眼</v>
      </c>
      <c r="I34" s="46"/>
      <c r="J34" s="59"/>
      <c r="K34" s="7"/>
      <c r="L34" s="105" t="str">
        <f>IFERROR(__xludf.DUMMYFUNCTION("""COMPUTED_VALUE"""),"2.55*3.55")</f>
        <v>2.55*3.55</v>
      </c>
      <c r="M34" s="106" t="str">
        <f>IFERROR(__xludf.DUMMYFUNCTION("""COMPUTED_VALUE"""),"15 pt")</f>
        <v>15 pt</v>
      </c>
      <c r="N34" s="59">
        <f>IFERROR(__xludf.DUMMYFUNCTION("""COMPUTED_VALUE"""),57.89473684210526)</f>
        <v>57.89473684</v>
      </c>
      <c r="O34" s="7"/>
      <c r="P34" s="58" t="str">
        <f>IFERROR(__xludf.DUMMYFUNCTION("""COMPUTED_VALUE"""),"1.00*1.50*3.00")</f>
        <v>1.00*1.50*3.00</v>
      </c>
      <c r="Q34" s="46" t="str">
        <f>IFERROR(__xludf.DUMMYFUNCTION("""COMPUTED_VALUE"""),"3.5 pt")</f>
        <v>3.5 pt</v>
      </c>
      <c r="R34" s="59">
        <f>IFERROR(__xludf.DUMMYFUNCTION("""COMPUTED_VALUE"""),81.05263157894737)</f>
        <v>81.05263158</v>
      </c>
    </row>
    <row r="35">
      <c r="A35" s="45"/>
      <c r="B35" s="46" t="str">
        <f>IFERROR(__xludf.DUMMYFUNCTION("""COMPUTED_VALUE"""),"11.5-12")</f>
        <v>11.5-12</v>
      </c>
      <c r="C35" s="47">
        <f>IFERROR(__xludf.DUMMYFUNCTION("""COMPUTED_VALUE"""),0.086)</f>
        <v>0.086</v>
      </c>
      <c r="D35" s="47" t="str">
        <f>IFERROR(__xludf.DUMMYFUNCTION("""COMPUTED_VALUE"""),"2.80-2.90mm")</f>
        <v>2.80-2.90mm</v>
      </c>
      <c r="E35" s="49">
        <f>IFERROR(__xludf.DUMMYFUNCTION("""COMPUTED_VALUE"""),35.78947368421053)</f>
        <v>35.78947368</v>
      </c>
      <c r="F35" s="52">
        <f>IFERROR(__xludf.DUMMYFUNCTION("""COMPUTED_VALUE"""),46.536842105263155)</f>
        <v>46.53684211</v>
      </c>
      <c r="G35" s="7"/>
      <c r="H35" s="58" t="str">
        <f>IFERROR(__xludf.DUMMYFUNCTION("""COMPUTED_VALUE"""),"MM SIZE W/L")</f>
        <v>MM SIZE W/L</v>
      </c>
      <c r="I35" s="46" t="str">
        <f>IFERROR(__xludf.DUMMYFUNCTION("""COMPUTED_VALUE"""),"PTS")</f>
        <v>PTS</v>
      </c>
      <c r="J35" s="59" t="str">
        <f>IFERROR(__xludf.DUMMYFUNCTION("""COMPUTED_VALUE"""),"USD/Ct.")</f>
        <v>USD/Ct.</v>
      </c>
      <c r="K35" s="7"/>
      <c r="L35" s="105" t="str">
        <f>IFERROR(__xludf.DUMMYFUNCTION("""COMPUTED_VALUE"""),"2.50*4.00")</f>
        <v>2.50*4.00</v>
      </c>
      <c r="M35" s="106" t="str">
        <f>IFERROR(__xludf.DUMMYFUNCTION("""COMPUTED_VALUE"""),"17 pt")</f>
        <v>17 pt</v>
      </c>
      <c r="N35" s="59">
        <f>IFERROR(__xludf.DUMMYFUNCTION("""COMPUTED_VALUE"""),60.0)</f>
        <v>60</v>
      </c>
      <c r="O35" s="7"/>
      <c r="P35" s="58" t="str">
        <f>IFERROR(__xludf.DUMMYFUNCTION("""COMPUTED_VALUE"""),"1.00*2.00*3.00")</f>
        <v>1.00*2.00*3.00</v>
      </c>
      <c r="Q35" s="46" t="str">
        <f>IFERROR(__xludf.DUMMYFUNCTION("""COMPUTED_VALUE"""),"6 pt")</f>
        <v>6 pt</v>
      </c>
      <c r="R35" s="59">
        <f>IFERROR(__xludf.DUMMYFUNCTION("""COMPUTED_VALUE"""),81.05263157894737)</f>
        <v>81.05263158</v>
      </c>
    </row>
    <row r="36">
      <c r="A36" s="45"/>
      <c r="B36" s="46" t="str">
        <f>IFERROR(__xludf.DUMMYFUNCTION("""COMPUTED_VALUE"""),"12-12.25")</f>
        <v>12-12.25</v>
      </c>
      <c r="C36" s="111">
        <f>IFERROR(__xludf.DUMMYFUNCTION("""COMPUTED_VALUE"""),0.1)</f>
        <v>0.1</v>
      </c>
      <c r="D36" s="47" t="str">
        <f>IFERROR(__xludf.DUMMYFUNCTION("""COMPUTED_VALUE"""),"2.90-2.95mm")</f>
        <v>2.90-2.95mm</v>
      </c>
      <c r="E36" s="49">
        <f>IFERROR(__xludf.DUMMYFUNCTION("""COMPUTED_VALUE"""),43.1578947368421)</f>
        <v>43.15789474</v>
      </c>
      <c r="F36" s="52">
        <f>IFERROR(__xludf.DUMMYFUNCTION("""COMPUTED_VALUE"""),57.62105263157895)</f>
        <v>57.62105263</v>
      </c>
      <c r="G36" s="7"/>
      <c r="H36" s="58" t="str">
        <f>IFERROR(__xludf.DUMMYFUNCTION("""COMPUTED_VALUE"""),"1.50*2.50")</f>
        <v>1.50*2.50</v>
      </c>
      <c r="I36" s="46" t="str">
        <f>IFERROR(__xludf.DUMMYFUNCTION("""COMPUTED_VALUE"""),"2 pt")</f>
        <v>2 pt</v>
      </c>
      <c r="J36" s="59">
        <f>IFERROR(__xludf.DUMMYFUNCTION("""COMPUTED_VALUE"""),125.26315789473684)</f>
        <v>125.2631579</v>
      </c>
      <c r="K36" s="7"/>
      <c r="L36" s="105" t="str">
        <f>IFERROR(__xludf.DUMMYFUNCTION("""COMPUTED_VALUE"""),"2.80*4.00")</f>
        <v>2.80*4.00</v>
      </c>
      <c r="M36" s="106" t="str">
        <f>IFERROR(__xludf.DUMMYFUNCTION("""COMPUTED_VALUE"""),"20 pt")</f>
        <v>20 pt</v>
      </c>
      <c r="N36" s="59">
        <f>IFERROR(__xludf.DUMMYFUNCTION("""COMPUTED_VALUE"""),60.0)</f>
        <v>60</v>
      </c>
      <c r="O36" s="7"/>
      <c r="P36" s="58" t="str">
        <f>IFERROR(__xludf.DUMMYFUNCTION("""COMPUTED_VALUE"""),"1.25*2.00*3.00")</f>
        <v>1.25*2.00*3.00</v>
      </c>
      <c r="Q36" s="46" t="str">
        <f>IFERROR(__xludf.DUMMYFUNCTION("""COMPUTED_VALUE"""),"6.5 pt")</f>
        <v>6.5 pt</v>
      </c>
      <c r="R36" s="59">
        <f>IFERROR(__xludf.DUMMYFUNCTION("""COMPUTED_VALUE"""),81.05263157894737)</f>
        <v>81.05263158</v>
      </c>
    </row>
    <row r="37">
      <c r="A37" s="45"/>
      <c r="B37" s="46" t="str">
        <f>IFERROR(__xludf.DUMMYFUNCTION("""COMPUTED_VALUE"""),"12.25-12.5")</f>
        <v>12.25-12.5</v>
      </c>
      <c r="C37" s="112"/>
      <c r="D37" s="47" t="str">
        <f>IFERROR(__xludf.DUMMYFUNCTION("""COMPUTED_VALUE"""),"2.95-3.00mm")</f>
        <v>2.95-3.00mm</v>
      </c>
      <c r="E37" s="49">
        <f>IFERROR(__xludf.DUMMYFUNCTION("""COMPUTED_VALUE"""),43.1578947368421)</f>
        <v>43.15789474</v>
      </c>
      <c r="F37" s="52">
        <f>IFERROR(__xludf.DUMMYFUNCTION("""COMPUTED_VALUE"""),57.62105263157895)</f>
        <v>57.62105263</v>
      </c>
      <c r="G37" s="7"/>
      <c r="H37" s="58" t="str">
        <f>IFERROR(__xludf.DUMMYFUNCTION("""COMPUTED_VALUE"""),"1.50*3.00")</f>
        <v>1.50*3.00</v>
      </c>
      <c r="I37" s="46" t="str">
        <f>IFERROR(__xludf.DUMMYFUNCTION("""COMPUTED_VALUE"""),"3 pt")</f>
        <v>3 pt</v>
      </c>
      <c r="J37" s="59">
        <f>IFERROR(__xludf.DUMMYFUNCTION("""COMPUTED_VALUE"""),102.10526315789474)</f>
        <v>102.1052632</v>
      </c>
      <c r="K37" s="7"/>
      <c r="L37" s="105" t="str">
        <f>IFERROR(__xludf.DUMMYFUNCTION("""COMPUTED_VALUE"""),"3.00*4.00")</f>
        <v>3.00*4.00</v>
      </c>
      <c r="M37" s="106" t="str">
        <f>IFERROR(__xludf.DUMMYFUNCTION("""COMPUTED_VALUE"""),"25 pt")</f>
        <v>25 pt</v>
      </c>
      <c r="N37" s="59">
        <f>IFERROR(__xludf.DUMMYFUNCTION("""COMPUTED_VALUE"""),60.0)</f>
        <v>60</v>
      </c>
      <c r="O37" s="7"/>
      <c r="P37" s="58" t="str">
        <f>IFERROR(__xludf.DUMMYFUNCTION("""COMPUTED_VALUE"""),"1.50*2.50*3.00")</f>
        <v>1.50*2.50*3.00</v>
      </c>
      <c r="Q37" s="46" t="str">
        <f>IFERROR(__xludf.DUMMYFUNCTION("""COMPUTED_VALUE"""),"10 pt")</f>
        <v>10 pt</v>
      </c>
      <c r="R37" s="59">
        <f>IFERROR(__xludf.DUMMYFUNCTION("""COMPUTED_VALUE"""),81.05263157894737)</f>
        <v>81.05263158</v>
      </c>
    </row>
    <row r="38">
      <c r="A38" s="45"/>
      <c r="B38" s="46" t="str">
        <f>IFERROR(__xludf.DUMMYFUNCTION("""COMPUTED_VALUE"""),"12.5-12.75")</f>
        <v>12.5-12.75</v>
      </c>
      <c r="C38" s="112"/>
      <c r="D38" s="47" t="str">
        <f>IFERROR(__xludf.DUMMYFUNCTION("""COMPUTED_VALUE"""),"3.00-3.05mm")</f>
        <v>3.00-3.05mm</v>
      </c>
      <c r="E38" s="49">
        <f>IFERROR(__xludf.DUMMYFUNCTION("""COMPUTED_VALUE"""),43.1578947368421)</f>
        <v>43.15789474</v>
      </c>
      <c r="F38" s="52">
        <f>IFERROR(__xludf.DUMMYFUNCTION("""COMPUTED_VALUE"""),57.62105263157895)</f>
        <v>57.62105263</v>
      </c>
      <c r="G38" s="7"/>
      <c r="H38" s="58" t="str">
        <f>IFERROR(__xludf.DUMMYFUNCTION("""COMPUTED_VALUE"""),"1.75*3.50")</f>
        <v>1.75*3.50</v>
      </c>
      <c r="I38" s="46" t="str">
        <f>IFERROR(__xludf.DUMMYFUNCTION("""COMPUTED_VALUE"""),"4 pt")</f>
        <v>4 pt</v>
      </c>
      <c r="J38" s="59">
        <f>IFERROR(__xludf.DUMMYFUNCTION("""COMPUTED_VALUE"""),78.94736842105263)</f>
        <v>78.94736842</v>
      </c>
      <c r="K38" s="7"/>
      <c r="L38" s="105" t="str">
        <f>IFERROR(__xludf.DUMMYFUNCTION("""COMPUTED_VALUE"""),"3.00*4.25")</f>
        <v>3.00*4.25</v>
      </c>
      <c r="M38" s="106" t="str">
        <f>IFERROR(__xludf.DUMMYFUNCTION("""COMPUTED_VALUE"""),"26 pt")</f>
        <v>26 pt</v>
      </c>
      <c r="N38" s="59">
        <f>IFERROR(__xludf.DUMMYFUNCTION("""COMPUTED_VALUE"""),60.0)</f>
        <v>60</v>
      </c>
      <c r="O38" s="7"/>
      <c r="P38" s="58" t="str">
        <f>IFERROR(__xludf.DUMMYFUNCTION("""COMPUTED_VALUE"""),"1.20*2.00*3.50")</f>
        <v>1.20*2.00*3.50</v>
      </c>
      <c r="Q38" s="46" t="str">
        <f>IFERROR(__xludf.DUMMYFUNCTION("""COMPUTED_VALUE"""),"7 pt")</f>
        <v>7 pt</v>
      </c>
      <c r="R38" s="59">
        <f>IFERROR(__xludf.DUMMYFUNCTION("""COMPUTED_VALUE"""),81.05263157894737)</f>
        <v>81.05263158</v>
      </c>
    </row>
    <row r="39">
      <c r="A39" s="45"/>
      <c r="B39" s="46" t="str">
        <f>IFERROR(__xludf.DUMMYFUNCTION("""COMPUTED_VALUE"""),"12.75-13")</f>
        <v>12.75-13</v>
      </c>
      <c r="C39" s="76"/>
      <c r="D39" s="47" t="str">
        <f>IFERROR(__xludf.DUMMYFUNCTION("""COMPUTED_VALUE"""),"3.05-3.10mm")</f>
        <v>3.05-3.10mm</v>
      </c>
      <c r="E39" s="49">
        <f>IFERROR(__xludf.DUMMYFUNCTION("""COMPUTED_VALUE"""),43.1578947368421)</f>
        <v>43.15789474</v>
      </c>
      <c r="F39" s="52">
        <f>IFERROR(__xludf.DUMMYFUNCTION("""COMPUTED_VALUE"""),57.62105263157895)</f>
        <v>57.62105263</v>
      </c>
      <c r="G39" s="7"/>
      <c r="H39" s="58" t="str">
        <f>IFERROR(__xludf.DUMMYFUNCTION("""COMPUTED_VALUE"""),"2.00*3.00")</f>
        <v>2.00*3.00</v>
      </c>
      <c r="I39" s="46" t="str">
        <f>IFERROR(__xludf.DUMMYFUNCTION("""COMPUTED_VALUE"""),"4.5 pt")</f>
        <v>4.5 pt</v>
      </c>
      <c r="J39" s="59">
        <f>IFERROR(__xludf.DUMMYFUNCTION("""COMPUTED_VALUE"""),69.47368421052632)</f>
        <v>69.47368421</v>
      </c>
      <c r="K39" s="7"/>
      <c r="L39" s="105" t="str">
        <f>IFERROR(__xludf.DUMMYFUNCTION("""COMPUTED_VALUE"""),"3.20*4.50")</f>
        <v>3.20*4.50</v>
      </c>
      <c r="M39" s="106" t="str">
        <f>IFERROR(__xludf.DUMMYFUNCTION("""COMPUTED_VALUE"""),"30  pt")</f>
        <v>30  pt</v>
      </c>
      <c r="N39" s="59">
        <f>IFERROR(__xludf.DUMMYFUNCTION("""COMPUTED_VALUE"""),66.3157894736842)</f>
        <v>66.31578947</v>
      </c>
      <c r="O39" s="7"/>
      <c r="P39" s="58" t="str">
        <f>IFERROR(__xludf.DUMMYFUNCTION("""COMPUTED_VALUE"""),"1.50*2.50*3.50")</f>
        <v>1.50*2.50*3.50</v>
      </c>
      <c r="Q39" s="46" t="str">
        <f>IFERROR(__xludf.DUMMYFUNCTION("""COMPUTED_VALUE"""),"11.5 pt")</f>
        <v>11.5 pt</v>
      </c>
      <c r="R39" s="59">
        <f>IFERROR(__xludf.DUMMYFUNCTION("""COMPUTED_VALUE"""),81.05263157894737)</f>
        <v>81.05263158</v>
      </c>
    </row>
    <row r="40">
      <c r="A40" s="45"/>
      <c r="B40" s="46" t="str">
        <f>IFERROR(__xludf.DUMMYFUNCTION("""COMPUTED_VALUE"""),"13-13.5")</f>
        <v>13-13.5</v>
      </c>
      <c r="C40" s="47">
        <f>IFERROR(__xludf.DUMMYFUNCTION("""COMPUTED_VALUE"""),0.116)</f>
        <v>0.116</v>
      </c>
      <c r="D40" s="47" t="str">
        <f>IFERROR(__xludf.DUMMYFUNCTION("""COMPUTED_VALUE"""),"3.10-3.20mm")</f>
        <v>3.10-3.20mm</v>
      </c>
      <c r="E40" s="49">
        <f>IFERROR(__xludf.DUMMYFUNCTION("""COMPUTED_VALUE"""),37.89473684210526)</f>
        <v>37.89473684</v>
      </c>
      <c r="F40" s="52">
        <f>IFERROR(__xludf.DUMMYFUNCTION("""COMPUTED_VALUE"""),49.863157894736844)</f>
        <v>49.86315789</v>
      </c>
      <c r="G40" s="7"/>
      <c r="H40" s="58" t="str">
        <f>IFERROR(__xludf.DUMMYFUNCTION("""COMPUTED_VALUE"""),"2.00*3.50")</f>
        <v>2.00*3.50</v>
      </c>
      <c r="I40" s="46" t="str">
        <f>IFERROR(__xludf.DUMMYFUNCTION("""COMPUTED_VALUE"""),"5 pt")</f>
        <v>5 pt</v>
      </c>
      <c r="J40" s="59">
        <f>IFERROR(__xludf.DUMMYFUNCTION("""COMPUTED_VALUE"""),66.3157894736842)</f>
        <v>66.31578947</v>
      </c>
      <c r="K40" s="7"/>
      <c r="L40" s="105" t="str">
        <f>IFERROR(__xludf.DUMMYFUNCTION("""COMPUTED_VALUE"""),"3.00*5.00")</f>
        <v>3.00*5.00</v>
      </c>
      <c r="M40" s="106" t="str">
        <f>IFERROR(__xludf.DUMMYFUNCTION("""COMPUTED_VALUE"""),"30 pt")</f>
        <v>30 pt</v>
      </c>
      <c r="N40" s="59">
        <f>IFERROR(__xludf.DUMMYFUNCTION("""COMPUTED_VALUE"""),71.57894736842105)</f>
        <v>71.57894737</v>
      </c>
      <c r="O40" s="7"/>
      <c r="P40" s="58" t="str">
        <f>IFERROR(__xludf.DUMMYFUNCTION("""COMPUTED_VALUE"""),"1.50*2.00*4.00")</f>
        <v>1.50*2.00*4.00</v>
      </c>
      <c r="Q40" s="46" t="str">
        <f>IFERROR(__xludf.DUMMYFUNCTION("""COMPUTED_VALUE"""),"8 pt")</f>
        <v>8 pt</v>
      </c>
      <c r="R40" s="59">
        <f>IFERROR(__xludf.DUMMYFUNCTION("""COMPUTED_VALUE"""),82.10526315789474)</f>
        <v>82.10526316</v>
      </c>
    </row>
    <row r="41">
      <c r="A41" s="62"/>
      <c r="B41" s="63" t="str">
        <f>IFERROR(__xludf.DUMMYFUNCTION("""COMPUTED_VALUE"""),"13.5-14")</f>
        <v>13.5-14</v>
      </c>
      <c r="C41" s="64">
        <f>IFERROR(__xludf.DUMMYFUNCTION("""COMPUTED_VALUE"""),0.125)</f>
        <v>0.125</v>
      </c>
      <c r="D41" s="64" t="str">
        <f>IFERROR(__xludf.DUMMYFUNCTION("""COMPUTED_VALUE"""),"3.20-3.30mm")</f>
        <v>3.20-3.30mm</v>
      </c>
      <c r="E41" s="66">
        <f>IFERROR(__xludf.DUMMYFUNCTION("""COMPUTED_VALUE"""),37.89473684210526)</f>
        <v>37.89473684</v>
      </c>
      <c r="F41" s="69">
        <f>IFERROR(__xludf.DUMMYFUNCTION("""COMPUTED_VALUE"""),49.863157894736844)</f>
        <v>49.86315789</v>
      </c>
      <c r="G41" s="7"/>
      <c r="H41" s="58" t="str">
        <f>IFERROR(__xludf.DUMMYFUNCTION("""COMPUTED_VALUE"""),"2.00*4.00")</f>
        <v>2.00*4.00</v>
      </c>
      <c r="I41" s="46" t="str">
        <f>IFERROR(__xludf.DUMMYFUNCTION("""COMPUTED_VALUE"""),"6 pt")</f>
        <v>6 pt</v>
      </c>
      <c r="J41" s="59">
        <f>IFERROR(__xludf.DUMMYFUNCTION("""COMPUTED_VALUE"""),61.05263157894737)</f>
        <v>61.05263158</v>
      </c>
      <c r="K41" s="7"/>
      <c r="L41" s="105" t="str">
        <f>IFERROR(__xludf.DUMMYFUNCTION("""COMPUTED_VALUE"""),"3.35*4.80")</f>
        <v>3.35*4.80</v>
      </c>
      <c r="M41" s="106" t="str">
        <f>IFERROR(__xludf.DUMMYFUNCTION("""COMPUTED_VALUE"""),"35 pt")</f>
        <v>35 pt</v>
      </c>
      <c r="N41" s="59">
        <f>IFERROR(__xludf.DUMMYFUNCTION("""COMPUTED_VALUE"""),63.1578947368421)</f>
        <v>63.15789474</v>
      </c>
      <c r="O41" s="7"/>
      <c r="P41" s="58" t="str">
        <f>IFERROR(__xludf.DUMMYFUNCTION("""COMPUTED_VALUE"""),"1.50*2.50*4.00")</f>
        <v>1.50*2.50*4.00</v>
      </c>
      <c r="Q41" s="46" t="str">
        <f>IFERROR(__xludf.DUMMYFUNCTION("""COMPUTED_VALUE"""),"13 pt")</f>
        <v>13 pt</v>
      </c>
      <c r="R41" s="59">
        <f>IFERROR(__xludf.DUMMYFUNCTION("""COMPUTED_VALUE"""),82.10526315789474)</f>
        <v>82.10526316</v>
      </c>
    </row>
    <row r="42">
      <c r="A42" s="36" t="str">
        <f>IFERROR(__xludf.DUMMYFUNCTION("""COMPUTED_VALUE"""),"15 PT")</f>
        <v>15 PT</v>
      </c>
      <c r="B42" s="37" t="str">
        <f>IFERROR(__xludf.DUMMYFUNCTION("""COMPUTED_VALUE"""),"14-14.5")</f>
        <v>14-14.5</v>
      </c>
      <c r="C42" s="39">
        <f>IFERROR(__xludf.DUMMYFUNCTION("""COMPUTED_VALUE"""),0.135)</f>
        <v>0.135</v>
      </c>
      <c r="D42" s="39" t="str">
        <f>IFERROR(__xludf.DUMMYFUNCTION("""COMPUTED_VALUE"""),"3.30-3.40mm")</f>
        <v>3.30-3.40mm</v>
      </c>
      <c r="E42" s="41">
        <f>IFERROR(__xludf.DUMMYFUNCTION("""COMPUTED_VALUE"""),36.8421052631579)</f>
        <v>36.84210526</v>
      </c>
      <c r="F42" s="43">
        <f>IFERROR(__xludf.DUMMYFUNCTION("""COMPUTED_VALUE"""),53.2)</f>
        <v>53.2</v>
      </c>
      <c r="G42" s="7"/>
      <c r="H42" s="58" t="str">
        <f>IFERROR(__xludf.DUMMYFUNCTION("""COMPUTED_VALUE"""),"2.50*4.50")</f>
        <v>2.50*4.50</v>
      </c>
      <c r="I42" s="46" t="str">
        <f>IFERROR(__xludf.DUMMYFUNCTION("""COMPUTED_VALUE"""),"10 pt")</f>
        <v>10 pt</v>
      </c>
      <c r="J42" s="59">
        <f>IFERROR(__xludf.DUMMYFUNCTION("""COMPUTED_VALUE"""),68.42105263157895)</f>
        <v>68.42105263</v>
      </c>
      <c r="K42" s="7"/>
      <c r="L42" s="105" t="str">
        <f>IFERROR(__xludf.DUMMYFUNCTION("""COMPUTED_VALUE"""),"3.50*5.00")</f>
        <v>3.50*5.00</v>
      </c>
      <c r="M42" s="106" t="str">
        <f>IFERROR(__xludf.DUMMYFUNCTION("""COMPUTED_VALUE"""),"40 pt")</f>
        <v>40 pt</v>
      </c>
      <c r="N42" s="59">
        <f>IFERROR(__xludf.DUMMYFUNCTION("""COMPUTED_VALUE"""),63.1578947368421)</f>
        <v>63.15789474</v>
      </c>
      <c r="O42" s="7"/>
      <c r="P42" s="58" t="str">
        <f>IFERROR(__xludf.DUMMYFUNCTION("""COMPUTED_VALUE"""),"2.00*3.00*4.00")</f>
        <v>2.00*3.00*4.00</v>
      </c>
      <c r="Q42" s="46" t="str">
        <f>IFERROR(__xludf.DUMMYFUNCTION("""COMPUTED_VALUE"""),"20 pt")</f>
        <v>20 pt</v>
      </c>
      <c r="R42" s="59">
        <f>IFERROR(__xludf.DUMMYFUNCTION("""COMPUTED_VALUE"""),82.10526315789474)</f>
        <v>82.10526316</v>
      </c>
    </row>
    <row r="43">
      <c r="A43" s="45"/>
      <c r="B43" s="46" t="str">
        <f>IFERROR(__xludf.DUMMYFUNCTION("""COMPUTED_VALUE"""),"14.5-15")</f>
        <v>14.5-15</v>
      </c>
      <c r="C43" s="47">
        <f>IFERROR(__xludf.DUMMYFUNCTION("""COMPUTED_VALUE"""),0.146)</f>
        <v>0.146</v>
      </c>
      <c r="D43" s="47" t="str">
        <f>IFERROR(__xludf.DUMMYFUNCTION("""COMPUTED_VALUE"""),"3.40-3.50mm")</f>
        <v>3.40-3.50mm</v>
      </c>
      <c r="E43" s="49">
        <f>IFERROR(__xludf.DUMMYFUNCTION("""COMPUTED_VALUE"""),38.94736842105263)</f>
        <v>38.94736842</v>
      </c>
      <c r="F43" s="52">
        <f>IFERROR(__xludf.DUMMYFUNCTION("""COMPUTED_VALUE"""),55.4)</f>
        <v>55.4</v>
      </c>
      <c r="G43" s="7"/>
      <c r="H43" s="58" t="str">
        <f>IFERROR(__xludf.DUMMYFUNCTION("""COMPUTED_VALUE"""),"2.50*5.00")</f>
        <v>2.50*5.00</v>
      </c>
      <c r="I43" s="46" t="str">
        <f>IFERROR(__xludf.DUMMYFUNCTION("""COMPUTED_VALUE"""),"11 pt")</f>
        <v>11 pt</v>
      </c>
      <c r="J43" s="59">
        <f>IFERROR(__xludf.DUMMYFUNCTION("""COMPUTED_VALUE"""),71.57894736842105)</f>
        <v>71.57894737</v>
      </c>
      <c r="K43" s="7"/>
      <c r="L43" s="105" t="str">
        <f>IFERROR(__xludf.DUMMYFUNCTION("""COMPUTED_VALUE"""),"3.80*5.40")</f>
        <v>3.80*5.40</v>
      </c>
      <c r="M43" s="106" t="str">
        <f>IFERROR(__xludf.DUMMYFUNCTION("""COMPUTED_VALUE"""),"50 pt")</f>
        <v>50 pt</v>
      </c>
      <c r="N43" s="59">
        <f>IFERROR(__xludf.DUMMYFUNCTION("""COMPUTED_VALUE"""),66.3157894736842)</f>
        <v>66.31578947</v>
      </c>
      <c r="O43" s="7"/>
      <c r="P43" s="58" t="str">
        <f>IFERROR(__xludf.DUMMYFUNCTION("""COMPUTED_VALUE"""),"1.50*2.50*4.50")</f>
        <v>1.50*2.50*4.50</v>
      </c>
      <c r="Q43" s="46" t="str">
        <f>IFERROR(__xludf.DUMMYFUNCTION("""COMPUTED_VALUE"""),"15 pt")</f>
        <v>15 pt</v>
      </c>
      <c r="R43" s="59">
        <f>IFERROR(__xludf.DUMMYFUNCTION("""COMPUTED_VALUE"""),82.10526315789474)</f>
        <v>82.10526316</v>
      </c>
    </row>
    <row r="44">
      <c r="A44" s="62"/>
      <c r="B44" s="63" t="str">
        <f>IFERROR(__xludf.DUMMYFUNCTION("""COMPUTED_VALUE"""),"15-15.5")</f>
        <v>15-15.5</v>
      </c>
      <c r="C44" s="64">
        <f>IFERROR(__xludf.DUMMYFUNCTION("""COMPUTED_VALUE"""),0.159)</f>
        <v>0.159</v>
      </c>
      <c r="D44" s="64" t="str">
        <f>IFERROR(__xludf.DUMMYFUNCTION("""COMPUTED_VALUE"""),"3.50-3.60mm")</f>
        <v>3.50-3.60mm</v>
      </c>
      <c r="E44" s="66">
        <f>IFERROR(__xludf.DUMMYFUNCTION("""COMPUTED_VALUE"""),37.89473684210526)</f>
        <v>37.89473684</v>
      </c>
      <c r="F44" s="69">
        <f>IFERROR(__xludf.DUMMYFUNCTION("""COMPUTED_VALUE"""),55.4)</f>
        <v>55.4</v>
      </c>
      <c r="G44" s="7"/>
      <c r="H44" s="58" t="str">
        <f>IFERROR(__xludf.DUMMYFUNCTION("""COMPUTED_VALUE"""),"3.00*5.00")</f>
        <v>3.00*5.00</v>
      </c>
      <c r="I44" s="46" t="str">
        <f>IFERROR(__xludf.DUMMYFUNCTION("""COMPUTED_VALUE"""),"14 pt")</f>
        <v>14 pt</v>
      </c>
      <c r="J44" s="59">
        <f>IFERROR(__xludf.DUMMYFUNCTION("""COMPUTED_VALUE"""),69.47368421052632)</f>
        <v>69.47368421</v>
      </c>
      <c r="K44" s="7"/>
      <c r="L44" s="105" t="str">
        <f>IFERROR(__xludf.DUMMYFUNCTION("""COMPUTED_VALUE"""),"4.05*6.05")</f>
        <v>4.05*6.05</v>
      </c>
      <c r="M44" s="106" t="str">
        <f>IFERROR(__xludf.DUMMYFUNCTION("""COMPUTED_VALUE"""),"70 pt")</f>
        <v>70 pt</v>
      </c>
      <c r="N44" s="59">
        <f>IFERROR(__xludf.DUMMYFUNCTION("""COMPUTED_VALUE"""),63.1578947368421)</f>
        <v>63.15789474</v>
      </c>
      <c r="O44" s="7"/>
      <c r="P44" s="58" t="str">
        <f>IFERROR(__xludf.DUMMYFUNCTION("""COMPUTED_VALUE"""),"2.00*3.00*5.00")</f>
        <v>2.00*3.00*5.00</v>
      </c>
      <c r="Q44" s="46" t="str">
        <f>IFERROR(__xludf.DUMMYFUNCTION("""COMPUTED_VALUE"""),"25 pt")</f>
        <v>25 pt</v>
      </c>
      <c r="R44" s="59">
        <f>IFERROR(__xludf.DUMMYFUNCTION("""COMPUTED_VALUE"""),85.26315789473684)</f>
        <v>85.26315789</v>
      </c>
    </row>
    <row r="45">
      <c r="A45" s="36" t="str">
        <f>IFERROR(__xludf.DUMMYFUNCTION("""COMPUTED_VALUE"""),"20 PT")</f>
        <v>20 PT</v>
      </c>
      <c r="B45" s="37" t="str">
        <f>IFERROR(__xludf.DUMMYFUNCTION("""COMPUTED_VALUE"""),"15.5-16")</f>
        <v>15.5-16</v>
      </c>
      <c r="C45" s="39">
        <f>IFERROR(__xludf.DUMMYFUNCTION("""COMPUTED_VALUE"""),0.175)</f>
        <v>0.175</v>
      </c>
      <c r="D45" s="39" t="str">
        <f>IFERROR(__xludf.DUMMYFUNCTION("""COMPUTED_VALUE"""),"3.60-3.70mm")</f>
        <v>3.60-3.70mm</v>
      </c>
      <c r="E45" s="41">
        <f>IFERROR(__xludf.DUMMYFUNCTION("""COMPUTED_VALUE"""),38.94736842105263)</f>
        <v>38.94736842</v>
      </c>
      <c r="F45" s="43">
        <f>IFERROR(__xludf.DUMMYFUNCTION("""COMPUTED_VALUE"""),55.4)</f>
        <v>55.4</v>
      </c>
      <c r="G45" s="7"/>
      <c r="H45" s="58" t="str">
        <f>IFERROR(__xludf.DUMMYFUNCTION("""COMPUTED_VALUE"""),"2.80*5.50")</f>
        <v>2.80*5.50</v>
      </c>
      <c r="I45" s="46" t="str">
        <f>IFERROR(__xludf.DUMMYFUNCTION("""COMPUTED_VALUE"""),"15 pt")</f>
        <v>15 pt</v>
      </c>
      <c r="J45" s="59">
        <f>IFERROR(__xludf.DUMMYFUNCTION("""COMPUTED_VALUE"""),64.21052631578948)</f>
        <v>64.21052632</v>
      </c>
      <c r="K45" s="7"/>
      <c r="L45" s="105" t="str">
        <f>IFERROR(__xludf.DUMMYFUNCTION("""COMPUTED_VALUE"""),"4.45*6.30")</f>
        <v>4.45*6.30</v>
      </c>
      <c r="M45" s="106" t="str">
        <f>IFERROR(__xludf.DUMMYFUNCTION("""COMPUTED_VALUE"""),"80 pt")</f>
        <v>80 pt</v>
      </c>
      <c r="N45" s="59">
        <f>IFERROR(__xludf.DUMMYFUNCTION("""COMPUTED_VALUE"""),60.0)</f>
        <v>60</v>
      </c>
      <c r="O45" s="7"/>
      <c r="P45" s="58" t="str">
        <f>IFERROR(__xludf.DUMMYFUNCTION("""COMPUTED_VALUE"""),"2.00*3.50*5.00")</f>
        <v>2.00*3.50*5.00</v>
      </c>
      <c r="Q45" s="46" t="str">
        <f>IFERROR(__xludf.DUMMYFUNCTION("""COMPUTED_VALUE"""),"32 pt")</f>
        <v>32 pt</v>
      </c>
      <c r="R45" s="59">
        <f>IFERROR(__xludf.DUMMYFUNCTION("""COMPUTED_VALUE"""),85.26315789473684)</f>
        <v>85.26315789</v>
      </c>
    </row>
    <row r="46">
      <c r="A46" s="45"/>
      <c r="B46" s="46" t="str">
        <f>IFERROR(__xludf.DUMMYFUNCTION("""COMPUTED_VALUE"""),"16-16.5")</f>
        <v>16-16.5</v>
      </c>
      <c r="C46" s="47">
        <f>IFERROR(__xludf.DUMMYFUNCTION("""COMPUTED_VALUE"""),0.185)</f>
        <v>0.185</v>
      </c>
      <c r="D46" s="47" t="str">
        <f>IFERROR(__xludf.DUMMYFUNCTION("""COMPUTED_VALUE"""),"3.70-3.80mm")</f>
        <v>3.70-3.80mm</v>
      </c>
      <c r="E46" s="49">
        <f>IFERROR(__xludf.DUMMYFUNCTION("""COMPUTED_VALUE"""),45.26315789473684)</f>
        <v>45.26315789</v>
      </c>
      <c r="F46" s="52">
        <f>IFERROR(__xludf.DUMMYFUNCTION("""COMPUTED_VALUE"""),60.93684210526316)</f>
        <v>60.93684211</v>
      </c>
      <c r="G46" s="7"/>
      <c r="H46" s="58" t="str">
        <f>IFERROR(__xludf.DUMMYFUNCTION("""COMPUTED_VALUE"""),"3.00*6.00")</f>
        <v>3.00*6.00</v>
      </c>
      <c r="I46" s="46" t="str">
        <f>IFERROR(__xludf.DUMMYFUNCTION("""COMPUTED_VALUE"""),"20 pt")</f>
        <v>20 pt</v>
      </c>
      <c r="J46" s="59">
        <f>IFERROR(__xludf.DUMMYFUNCTION("""COMPUTED_VALUE"""),81.05263157894737)</f>
        <v>81.05263158</v>
      </c>
      <c r="K46" s="7"/>
      <c r="L46" s="105" t="str">
        <f>IFERROR(__xludf.DUMMYFUNCTION("""COMPUTED_VALUE"""),"4.75*6.75")</f>
        <v>4.75*6.75</v>
      </c>
      <c r="M46" s="106" t="str">
        <f>IFERROR(__xludf.DUMMYFUNCTION("""COMPUTED_VALUE"""),"1.00 ct")</f>
        <v>1.00 ct</v>
      </c>
      <c r="N46" s="59">
        <f>IFERROR(__xludf.DUMMYFUNCTION("""COMPUTED_VALUE"""),68.42105263157895)</f>
        <v>68.42105263</v>
      </c>
      <c r="O46" s="7"/>
      <c r="P46" s="58" t="str">
        <f>IFERROR(__xludf.DUMMYFUNCTION("""COMPUTED_VALUE"""),"2.50*3.50*5.00")</f>
        <v>2.50*3.50*5.00</v>
      </c>
      <c r="Q46" s="46" t="str">
        <f>IFERROR(__xludf.DUMMYFUNCTION("""COMPUTED_VALUE"""),"35 pt")</f>
        <v>35 pt</v>
      </c>
      <c r="R46" s="59">
        <f>IFERROR(__xludf.DUMMYFUNCTION("""COMPUTED_VALUE"""),85.26315789473684)</f>
        <v>85.26315789</v>
      </c>
    </row>
    <row r="47">
      <c r="A47" s="62"/>
      <c r="B47" s="63" t="str">
        <f>IFERROR(__xludf.DUMMYFUNCTION("""COMPUTED_VALUE"""),"16.5-17")</f>
        <v>16.5-17</v>
      </c>
      <c r="C47" s="114">
        <f>IFERROR(__xludf.DUMMYFUNCTION("""COMPUTED_VALUE"""),0.2)</f>
        <v>0.2</v>
      </c>
      <c r="D47" s="64" t="str">
        <f>IFERROR(__xludf.DUMMYFUNCTION("""COMPUTED_VALUE"""),"3.80-3.90mm")</f>
        <v>3.80-3.90mm</v>
      </c>
      <c r="E47" s="66">
        <f>IFERROR(__xludf.DUMMYFUNCTION("""COMPUTED_VALUE"""),45.26315789473684)</f>
        <v>45.26315789</v>
      </c>
      <c r="F47" s="69">
        <f>IFERROR(__xludf.DUMMYFUNCTION("""COMPUTED_VALUE"""),60.93684210526316)</f>
        <v>60.93684211</v>
      </c>
      <c r="G47" s="7"/>
      <c r="H47" s="58" t="str">
        <f>IFERROR(__xludf.DUMMYFUNCTION("""COMPUTED_VALUE"""),"3.30*6.50")</f>
        <v>3.30*6.50</v>
      </c>
      <c r="I47" s="46" t="str">
        <f>IFERROR(__xludf.DUMMYFUNCTION("""COMPUTED_VALUE"""),"25 pt")</f>
        <v>25 pt</v>
      </c>
      <c r="J47" s="59">
        <f>IFERROR(__xludf.DUMMYFUNCTION("""COMPUTED_VALUE"""),82.10526315789474)</f>
        <v>82.10526316</v>
      </c>
      <c r="K47" s="7"/>
      <c r="L47" s="105" t="str">
        <f>IFERROR(__xludf.DUMMYFUNCTION("""COMPUTED_VALUE"""),"5.00*7.00")</f>
        <v>5.00*7.00</v>
      </c>
      <c r="M47" s="106" t="str">
        <f>IFERROR(__xludf.DUMMYFUNCTION("""COMPUTED_VALUE"""),"1.15 ct")</f>
        <v>1.15 ct</v>
      </c>
      <c r="N47" s="59">
        <f>IFERROR(__xludf.DUMMYFUNCTION("""COMPUTED_VALUE"""),69.47368421052632)</f>
        <v>69.47368421</v>
      </c>
      <c r="O47" s="7"/>
      <c r="P47" s="58" t="str">
        <f>IFERROR(__xludf.DUMMYFUNCTION("""COMPUTED_VALUE"""),"2.00*3.00*5.50")</f>
        <v>2.00*3.00*5.50</v>
      </c>
      <c r="Q47" s="46" t="str">
        <f>IFERROR(__xludf.DUMMYFUNCTION("""COMPUTED_VALUE"""),"27.5 pt")</f>
        <v>27.5 pt</v>
      </c>
      <c r="R47" s="59">
        <f>IFERROR(__xludf.DUMMYFUNCTION("""COMPUTED_VALUE"""),85.26315789473684)</f>
        <v>85.26315789</v>
      </c>
    </row>
    <row r="48">
      <c r="A48" s="36" t="str">
        <f>IFERROR(__xludf.DUMMYFUNCTION("""COMPUTED_VALUE"""),"25 PT")</f>
        <v>25 PT</v>
      </c>
      <c r="B48" s="37" t="str">
        <f>IFERROR(__xludf.DUMMYFUNCTION("""COMPUTED_VALUE"""),"17-17.5")</f>
        <v>17-17.5</v>
      </c>
      <c r="C48" s="39">
        <f>IFERROR(__xludf.DUMMYFUNCTION("""COMPUTED_VALUE"""),0.22)</f>
        <v>0.22</v>
      </c>
      <c r="D48" s="39" t="str">
        <f>IFERROR(__xludf.DUMMYFUNCTION("""COMPUTED_VALUE"""),"3.90-4.00mm")</f>
        <v>3.90-4.00mm</v>
      </c>
      <c r="E48" s="41">
        <f>IFERROR(__xludf.DUMMYFUNCTION("""COMPUTED_VALUE"""),53.68421052631579)</f>
        <v>53.68421053</v>
      </c>
      <c r="F48" s="43">
        <f>IFERROR(__xludf.DUMMYFUNCTION("""COMPUTED_VALUE"""),66.48421052631579)</f>
        <v>66.48421053</v>
      </c>
      <c r="G48" s="7"/>
      <c r="H48" s="58" t="str">
        <f>IFERROR(__xludf.DUMMYFUNCTION("""COMPUTED_VALUE"""),"3.50*7.00")</f>
        <v>3.50*7.00</v>
      </c>
      <c r="I48" s="46" t="str">
        <f>IFERROR(__xludf.DUMMYFUNCTION("""COMPUTED_VALUE"""),"30 pt")</f>
        <v>30 pt</v>
      </c>
      <c r="J48" s="59">
        <f>IFERROR(__xludf.DUMMYFUNCTION("""COMPUTED_VALUE"""),84.21052631578948)</f>
        <v>84.21052632</v>
      </c>
      <c r="K48" s="7"/>
      <c r="L48" s="105" t="str">
        <f>IFERROR(__xludf.DUMMYFUNCTION("""COMPUTED_VALUE"""),"5.35*7.85")</f>
        <v>5.35*7.85</v>
      </c>
      <c r="M48" s="106" t="str">
        <f>IFERROR(__xludf.DUMMYFUNCTION("""COMPUTED_VALUE"""),"1.50 ct")</f>
        <v>1.50 ct</v>
      </c>
      <c r="N48" s="59">
        <f>IFERROR(__xludf.DUMMYFUNCTION("""COMPUTED_VALUE"""),81.05263157894737)</f>
        <v>81.05263158</v>
      </c>
      <c r="O48" s="7"/>
      <c r="P48" s="58" t="str">
        <f>IFERROR(__xludf.DUMMYFUNCTION("""COMPUTED_VALUE"""),"2.50*3.50*5.50")</f>
        <v>2.50*3.50*5.50</v>
      </c>
      <c r="Q48" s="46" t="str">
        <f>IFERROR(__xludf.DUMMYFUNCTION("""COMPUTED_VALUE"""),"39 pt")</f>
        <v>39 pt</v>
      </c>
      <c r="R48" s="59">
        <f>IFERROR(__xludf.DUMMYFUNCTION("""COMPUTED_VALUE"""),85.26315789473684)</f>
        <v>85.26315789</v>
      </c>
    </row>
    <row r="49">
      <c r="A49" s="45"/>
      <c r="B49" s="46" t="str">
        <f>IFERROR(__xludf.DUMMYFUNCTION("""COMPUTED_VALUE"""),"17.5-18")</f>
        <v>17.5-18</v>
      </c>
      <c r="C49" s="47">
        <f>IFERROR(__xludf.DUMMYFUNCTION("""COMPUTED_VALUE"""),0.23)</f>
        <v>0.23</v>
      </c>
      <c r="D49" s="47" t="str">
        <f>IFERROR(__xludf.DUMMYFUNCTION("""COMPUTED_VALUE"""),"4.00-4.10mm")</f>
        <v>4.00-4.10mm</v>
      </c>
      <c r="E49" s="49">
        <f>IFERROR(__xludf.DUMMYFUNCTION("""COMPUTED_VALUE"""),56.8421052631579)</f>
        <v>56.84210526</v>
      </c>
      <c r="F49" s="52">
        <f>IFERROR(__xludf.DUMMYFUNCTION("""COMPUTED_VALUE"""),66.48421052631579)</f>
        <v>66.48421053</v>
      </c>
      <c r="G49" s="7"/>
      <c r="H49" s="102" t="str">
        <f>IFERROR(__xludf.DUMMYFUNCTION("""COMPUTED_VALUE"""),"4.00*8.00")</f>
        <v>4.00*8.00</v>
      </c>
      <c r="I49" s="63" t="str">
        <f>IFERROR(__xludf.DUMMYFUNCTION("""COMPUTED_VALUE"""),"45 pt")</f>
        <v>45 pt</v>
      </c>
      <c r="J49" s="101">
        <f>IFERROR(__xludf.DUMMYFUNCTION("""COMPUTED_VALUE"""),84.21052631578948)</f>
        <v>84.21052632</v>
      </c>
      <c r="K49" s="7"/>
      <c r="L49" s="105" t="str">
        <f>IFERROR(__xludf.DUMMYFUNCTION("""COMPUTED_VALUE"""),"6.00*8.00")</f>
        <v>6.00*8.00</v>
      </c>
      <c r="M49" s="106" t="str">
        <f>IFERROR(__xludf.DUMMYFUNCTION("""COMPUTED_VALUE"""),"1.85 ct")</f>
        <v>1.85 ct</v>
      </c>
      <c r="N49" s="59">
        <f>IFERROR(__xludf.DUMMYFUNCTION("""COMPUTED_VALUE"""),87.36842105263158)</f>
        <v>87.36842105</v>
      </c>
      <c r="O49" s="7"/>
      <c r="P49" s="58" t="str">
        <f>IFERROR(__xludf.DUMMYFUNCTION("""COMPUTED_VALUE"""),"2.00*3.00*6.00")</f>
        <v>2.00*3.00*6.00</v>
      </c>
      <c r="Q49" s="46" t="str">
        <f>IFERROR(__xludf.DUMMYFUNCTION("""COMPUTED_VALUE"""),"30 pt")</f>
        <v>30 pt</v>
      </c>
      <c r="R49" s="59">
        <f>IFERROR(__xludf.DUMMYFUNCTION("""COMPUTED_VALUE"""),91.57894736842105)</f>
        <v>91.57894737</v>
      </c>
    </row>
    <row r="50">
      <c r="A50" s="62"/>
      <c r="B50" s="63" t="str">
        <f>IFERROR(__xludf.DUMMYFUNCTION("""COMPUTED_VALUE"""),"18-18.5")</f>
        <v>18-18.5</v>
      </c>
      <c r="C50" s="64">
        <f>IFERROR(__xludf.DUMMYFUNCTION("""COMPUTED_VALUE"""),0.25)</f>
        <v>0.25</v>
      </c>
      <c r="D50" s="64" t="str">
        <f>IFERROR(__xludf.DUMMYFUNCTION("""COMPUTED_VALUE"""),"4.10-4.20mm")</f>
        <v>4.10-4.20mm</v>
      </c>
      <c r="E50" s="66">
        <f>IFERROR(__xludf.DUMMYFUNCTION("""COMPUTED_VALUE"""),53.68421052631579)</f>
        <v>53.68421053</v>
      </c>
      <c r="F50" s="69">
        <f>IFERROR(__xludf.DUMMYFUNCTION("""COMPUTED_VALUE"""),66.48421052631579)</f>
        <v>66.48421053</v>
      </c>
      <c r="G50" s="7"/>
      <c r="H50" s="25" t="str">
        <f>IFERROR(__xludf.DUMMYFUNCTION("""COMPUTED_VALUE"""),"4.20*8.20")</f>
        <v>4.20*8.20</v>
      </c>
      <c r="K50" s="7"/>
      <c r="L50" s="58" t="str">
        <f>IFERROR(__xludf.DUMMYFUNCTION("""COMPUTED_VALUE"""),"CUS/枕形")</f>
        <v>CUS/枕形</v>
      </c>
      <c r="M50" s="46"/>
      <c r="N50" s="59"/>
      <c r="O50" s="7"/>
      <c r="P50" s="58" t="str">
        <f>IFERROR(__xludf.DUMMYFUNCTION("""COMPUTED_VALUE"""),"2.50*4.00*6.00")</f>
        <v>2.50*4.00*6.00</v>
      </c>
      <c r="Q50" s="46" t="str">
        <f>IFERROR(__xludf.DUMMYFUNCTION("""COMPUTED_VALUE"""),"52.5 pt")</f>
        <v>52.5 pt</v>
      </c>
      <c r="R50" s="59">
        <f>IFERROR(__xludf.DUMMYFUNCTION("""COMPUTED_VALUE"""),91.57894736842105)</f>
        <v>91.57894737</v>
      </c>
    </row>
    <row r="51">
      <c r="A51" s="36" t="str">
        <f>IFERROR(__xludf.DUMMYFUNCTION("""COMPUTED_VALUE"""),"30 PT")</f>
        <v>30 PT</v>
      </c>
      <c r="B51" s="37" t="str">
        <f>IFERROR(__xludf.DUMMYFUNCTION("""COMPUTED_VALUE"""),"18.5-19")</f>
        <v>18.5-19</v>
      </c>
      <c r="C51" s="39">
        <f>IFERROR(__xludf.DUMMYFUNCTION("""COMPUTED_VALUE"""),0.28)</f>
        <v>0.28</v>
      </c>
      <c r="D51" s="39" t="str">
        <f>IFERROR(__xludf.DUMMYFUNCTION("""COMPUTED_VALUE"""),"4.20-4.30mm")</f>
        <v>4.20-4.30mm</v>
      </c>
      <c r="E51" s="41">
        <f>IFERROR(__xludf.DUMMYFUNCTION("""COMPUTED_VALUE"""),51.578947368421055)</f>
        <v>51.57894737</v>
      </c>
      <c r="F51" s="43">
        <f>IFERROR(__xludf.DUMMYFUNCTION("""COMPUTED_VALUE"""),66.48421052631579)</f>
        <v>66.48421053</v>
      </c>
      <c r="G51" s="7"/>
      <c r="H51" s="51" t="str">
        <f>IFERROR(__xludf.DUMMYFUNCTION("""COMPUTED_VALUE"""),"4.50*9.00")</f>
        <v>4.50*9.00</v>
      </c>
      <c r="I51" s="53" t="str">
        <f>IFERROR(__xludf.DUMMYFUNCTION("""COMPUTED_VALUE"""),"70 pt")</f>
        <v>70 pt</v>
      </c>
      <c r="J51" s="107">
        <f>IFERROR(__xludf.DUMMYFUNCTION("""COMPUTED_VALUE"""),87.36842105263158)</f>
        <v>87.36842105</v>
      </c>
      <c r="K51" s="7"/>
      <c r="L51" s="102" t="str">
        <f>IFERROR(__xludf.DUMMYFUNCTION("""COMPUTED_VALUE"""),"MM SIZE W/L")</f>
        <v>MM SIZE W/L</v>
      </c>
      <c r="M51" s="63" t="str">
        <f>IFERROR(__xludf.DUMMYFUNCTION("""COMPUTED_VALUE"""),"PTS")</f>
        <v>PTS</v>
      </c>
      <c r="N51" s="101" t="str">
        <f>IFERROR(__xludf.DUMMYFUNCTION("""COMPUTED_VALUE"""),"USD/Ct.")</f>
        <v>USD/Ct.</v>
      </c>
      <c r="O51" s="7"/>
      <c r="P51" s="58" t="str">
        <f>IFERROR(__xludf.DUMMYFUNCTION("""COMPUTED_VALUE"""),"2.50*4.00*6.50")</f>
        <v>2.50*4.00*6.50</v>
      </c>
      <c r="Q51" s="46" t="str">
        <f>IFERROR(__xludf.DUMMYFUNCTION("""COMPUTED_VALUE"""),"56 pt")</f>
        <v>56 pt</v>
      </c>
      <c r="R51" s="59">
        <f>IFERROR(__xludf.DUMMYFUNCTION("""COMPUTED_VALUE"""),91.57894736842105)</f>
        <v>91.57894737</v>
      </c>
    </row>
    <row r="52">
      <c r="A52" s="45"/>
      <c r="B52" s="46" t="str">
        <f>IFERROR(__xludf.DUMMYFUNCTION("""COMPUTED_VALUE"""),"19-19.5")</f>
        <v>19-19.5</v>
      </c>
      <c r="C52" s="116">
        <f>IFERROR(__xludf.DUMMYFUNCTION("""COMPUTED_VALUE"""),0.3)</f>
        <v>0.3</v>
      </c>
      <c r="D52" s="47" t="str">
        <f>IFERROR(__xludf.DUMMYFUNCTION("""COMPUTED_VALUE"""),"4.30-4.40mm")</f>
        <v>4.30-4.40mm</v>
      </c>
      <c r="E52" s="49">
        <f>IFERROR(__xludf.DUMMYFUNCTION("""COMPUTED_VALUE"""),51.578947368421055)</f>
        <v>51.57894737</v>
      </c>
      <c r="F52" s="52">
        <f>IFERROR(__xludf.DUMMYFUNCTION("""COMPUTED_VALUE"""),66.48421052631579)</f>
        <v>66.48421053</v>
      </c>
      <c r="G52" s="7"/>
      <c r="H52" s="58" t="str">
        <f>IFERROR(__xludf.DUMMYFUNCTION("""COMPUTED_VALUE"""),"4.65*9.30")</f>
        <v>4.65*9.30</v>
      </c>
      <c r="I52" s="46" t="str">
        <f>IFERROR(__xludf.DUMMYFUNCTION("""COMPUTED_VALUE"""),"70 pt")</f>
        <v>70 pt</v>
      </c>
      <c r="J52" s="59">
        <f>IFERROR(__xludf.DUMMYFUNCTION("""COMPUTED_VALUE"""),87.36842105263158)</f>
        <v>87.36842105</v>
      </c>
      <c r="K52" s="7"/>
      <c r="L52" s="118" t="str">
        <f>IFERROR(__xludf.DUMMYFUNCTION("""COMPUTED_VALUE"""),"3.05*3.05")</f>
        <v>3.05*3.05</v>
      </c>
      <c r="O52" s="7"/>
      <c r="P52" s="58" t="str">
        <f>IFERROR(__xludf.DUMMYFUNCTION("""COMPUTED_VALUE"""),"2.50*3.50*6.50")</f>
        <v>2.50*3.50*6.50</v>
      </c>
      <c r="Q52" s="46" t="str">
        <f>IFERROR(__xludf.DUMMYFUNCTION("""COMPUTED_VALUE"""),"46 pt")</f>
        <v>46 pt</v>
      </c>
      <c r="R52" s="59">
        <f>IFERROR(__xludf.DUMMYFUNCTION("""COMPUTED_VALUE"""),91.57894736842105)</f>
        <v>91.57894737</v>
      </c>
    </row>
    <row r="53">
      <c r="A53" s="62"/>
      <c r="B53" s="63" t="str">
        <f>IFERROR(__xludf.DUMMYFUNCTION("""COMPUTED_VALUE"""),"19.5-20")</f>
        <v>19.5-20</v>
      </c>
      <c r="C53" s="64">
        <f>IFERROR(__xludf.DUMMYFUNCTION("""COMPUTED_VALUE"""),0.33)</f>
        <v>0.33</v>
      </c>
      <c r="D53" s="64" t="str">
        <f>IFERROR(__xludf.DUMMYFUNCTION("""COMPUTED_VALUE"""),"4.40-4.50mm")</f>
        <v>4.40-4.50mm</v>
      </c>
      <c r="E53" s="66">
        <f>IFERROR(__xludf.DUMMYFUNCTION("""COMPUTED_VALUE"""),50.526315789473685)</f>
        <v>50.52631579</v>
      </c>
      <c r="F53" s="69">
        <f>IFERROR(__xludf.DUMMYFUNCTION("""COMPUTED_VALUE"""),66.48421052631579)</f>
        <v>66.48421053</v>
      </c>
      <c r="G53" s="7"/>
      <c r="H53" s="58" t="str">
        <f>IFERROR(__xludf.DUMMYFUNCTION("""COMPUTED_VALUE"""),"5.00*10.00")</f>
        <v>5.00*10.00</v>
      </c>
      <c r="I53" s="46" t="str">
        <f>IFERROR(__xludf.DUMMYFUNCTION("""COMPUTED_VALUE"""),"90 pt")</f>
        <v>90 pt</v>
      </c>
      <c r="J53" s="59">
        <f>IFERROR(__xludf.DUMMYFUNCTION("""COMPUTED_VALUE"""),88.42105263157895)</f>
        <v>88.42105263</v>
      </c>
      <c r="K53" s="7"/>
      <c r="L53" s="119" t="str">
        <f>IFERROR(__xludf.DUMMYFUNCTION("""COMPUTED_VALUE"""),"3.50*3.50")</f>
        <v>3.50*3.50</v>
      </c>
      <c r="M53" s="120" t="str">
        <f>IFERROR(__xludf.DUMMYFUNCTION("""COMPUTED_VALUE"""),"23 pt")</f>
        <v>23 pt</v>
      </c>
      <c r="N53" s="107">
        <f>IFERROR(__xludf.DUMMYFUNCTION("""COMPUTED_VALUE"""),64.21052631578948)</f>
        <v>64.21052632</v>
      </c>
      <c r="O53" s="7"/>
      <c r="P53" s="58" t="str">
        <f>IFERROR(__xludf.DUMMYFUNCTION("""COMPUTED_VALUE"""),"2.50*4.50*6.50")</f>
        <v>2.50*4.50*6.50</v>
      </c>
      <c r="Q53" s="46" t="str">
        <f>IFERROR(__xludf.DUMMYFUNCTION("""COMPUTED_VALUE"""),"59 pt")</f>
        <v>59 pt</v>
      </c>
      <c r="R53" s="59">
        <f>IFERROR(__xludf.DUMMYFUNCTION("""COMPUTED_VALUE"""),91.57894736842105)</f>
        <v>91.57894737</v>
      </c>
    </row>
    <row r="54">
      <c r="A54" s="36" t="str">
        <f>IFERROR(__xludf.DUMMYFUNCTION("""COMPUTED_VALUE"""),"40 PT")</f>
        <v>40 PT</v>
      </c>
      <c r="B54" s="37" t="str">
        <f>IFERROR(__xludf.DUMMYFUNCTION("""COMPUTED_VALUE"""),"19.5-20")</f>
        <v>19.5-20</v>
      </c>
      <c r="C54" s="39">
        <f>IFERROR(__xludf.DUMMYFUNCTION("""COMPUTED_VALUE"""),0.35)</f>
        <v>0.35</v>
      </c>
      <c r="D54" s="39" t="str">
        <f>IFERROR(__xludf.DUMMYFUNCTION("""COMPUTED_VALUE"""),"4.50-4.60mm")</f>
        <v>4.50-4.60mm</v>
      </c>
      <c r="E54" s="41">
        <f>IFERROR(__xludf.DUMMYFUNCTION("""COMPUTED_VALUE"""),50.526315789473685)</f>
        <v>50.52631579</v>
      </c>
      <c r="F54" s="43">
        <f>IFERROR(__xludf.DUMMYFUNCTION("""COMPUTED_VALUE"""),64.26315789473684)</f>
        <v>64.26315789</v>
      </c>
      <c r="G54" s="7"/>
      <c r="H54" s="58" t="str">
        <f>IFERROR(__xludf.DUMMYFUNCTION("""COMPUTED_VALUE"""),"5.25*10.50")</f>
        <v>5.25*10.50</v>
      </c>
      <c r="I54" s="46" t="str">
        <f>IFERROR(__xludf.DUMMYFUNCTION("""COMPUTED_VALUE"""),"1 ct")</f>
        <v>1 ct</v>
      </c>
      <c r="J54" s="59">
        <f>IFERROR(__xludf.DUMMYFUNCTION("""COMPUTED_VALUE"""),100.0)</f>
        <v>100</v>
      </c>
      <c r="K54" s="7"/>
      <c r="L54" s="60" t="str">
        <f>IFERROR(__xludf.DUMMYFUNCTION("""COMPUTED_VALUE"""),"3.70*3.70")</f>
        <v>3.70*3.70</v>
      </c>
      <c r="M54" s="61" t="str">
        <f>IFERROR(__xludf.DUMMYFUNCTION("""COMPUTED_VALUE"""),"27 pt")</f>
        <v>27 pt</v>
      </c>
      <c r="N54" s="59">
        <f>IFERROR(__xludf.DUMMYFUNCTION("""COMPUTED_VALUE"""),64.21052631578948)</f>
        <v>64.21052632</v>
      </c>
      <c r="O54" s="7"/>
      <c r="P54" s="58" t="str">
        <f>IFERROR(__xludf.DUMMYFUNCTION("""COMPUTED_VALUE"""),"2.50*3.50*7.00")</f>
        <v>2.50*3.50*7.00</v>
      </c>
      <c r="Q54" s="46" t="str">
        <f>IFERROR(__xludf.DUMMYFUNCTION("""COMPUTED_VALUE"""),"48 pt")</f>
        <v>48 pt</v>
      </c>
      <c r="R54" s="59">
        <f>IFERROR(__xludf.DUMMYFUNCTION("""COMPUTED_VALUE"""),105.26315789473684)</f>
        <v>105.2631579</v>
      </c>
    </row>
    <row r="55">
      <c r="A55" s="45"/>
      <c r="B55" s="46" t="str">
        <f>IFERROR(__xludf.DUMMYFUNCTION("""COMPUTED_VALUE"""),"20-20.5")</f>
        <v>20-20.5</v>
      </c>
      <c r="C55" s="121"/>
      <c r="D55" s="47" t="str">
        <f>IFERROR(__xludf.DUMMYFUNCTION("""COMPUTED_VALUE"""),"4.60-4.70mm")</f>
        <v>4.60-4.70mm</v>
      </c>
      <c r="E55" s="49">
        <f>IFERROR(__xludf.DUMMYFUNCTION("""COMPUTED_VALUE"""),50.526315789473685)</f>
        <v>50.52631579</v>
      </c>
      <c r="F55" s="52">
        <f>IFERROR(__xludf.DUMMYFUNCTION("""COMPUTED_VALUE"""),64.26315789473684)</f>
        <v>64.26315789</v>
      </c>
      <c r="G55" s="7"/>
      <c r="H55" s="58" t="str">
        <f>IFERROR(__xludf.DUMMYFUNCTION("""COMPUTED_VALUE"""),"OVAL/椭圆")</f>
        <v>OVAL/椭圆</v>
      </c>
      <c r="I55" s="46"/>
      <c r="J55" s="59"/>
      <c r="K55" s="7"/>
      <c r="L55" s="60" t="str">
        <f>IFERROR(__xludf.DUMMYFUNCTION("""COMPUTED_VALUE"""),"3.90*3.90")</f>
        <v>3.90*3.90</v>
      </c>
      <c r="M55" s="61" t="str">
        <f>IFERROR(__xludf.DUMMYFUNCTION("""COMPUTED_VALUE"""),"30 pt")</f>
        <v>30 pt</v>
      </c>
      <c r="N55" s="59">
        <f>IFERROR(__xludf.DUMMYFUNCTION("""COMPUTED_VALUE"""),64.21052631578948)</f>
        <v>64.21052632</v>
      </c>
      <c r="O55" s="7"/>
      <c r="P55" s="58" t="str">
        <f>IFERROR(__xludf.DUMMYFUNCTION("""COMPUTED_VALUE"""),"2.50*4.00*7.00")</f>
        <v>2.50*4.00*7.00</v>
      </c>
      <c r="Q55" s="46" t="str">
        <f>IFERROR(__xludf.DUMMYFUNCTION("""COMPUTED_VALUE"""),"50 pt")</f>
        <v>50 pt</v>
      </c>
      <c r="R55" s="59">
        <f>IFERROR(__xludf.DUMMYFUNCTION("""COMPUTED_VALUE"""),105.26315789473684)</f>
        <v>105.2631579</v>
      </c>
    </row>
    <row r="56">
      <c r="A56" s="45"/>
      <c r="B56" s="46" t="str">
        <f>IFERROR(__xludf.DUMMYFUNCTION("""COMPUTED_VALUE"""),"20-20.5")</f>
        <v>20-20.5</v>
      </c>
      <c r="C56" s="121"/>
      <c r="D56" s="47" t="str">
        <f>IFERROR(__xludf.DUMMYFUNCTION("""COMPUTED_VALUE"""),"4.70-4.80mm")</f>
        <v>4.70-4.80mm</v>
      </c>
      <c r="E56" s="49">
        <f>IFERROR(__xludf.DUMMYFUNCTION("""COMPUTED_VALUE"""),50.526315789473685)</f>
        <v>50.52631579</v>
      </c>
      <c r="F56" s="52">
        <f>IFERROR(__xludf.DUMMYFUNCTION("""COMPUTED_VALUE"""),64.26315789473684)</f>
        <v>64.26315789</v>
      </c>
      <c r="G56" s="7"/>
      <c r="H56" s="58" t="str">
        <f>IFERROR(__xludf.DUMMYFUNCTION("""COMPUTED_VALUE"""),"MM SIZE W/L")</f>
        <v>MM SIZE W/L</v>
      </c>
      <c r="I56" s="46" t="str">
        <f>IFERROR(__xludf.DUMMYFUNCTION("""COMPUTED_VALUE"""),"PTS")</f>
        <v>PTS</v>
      </c>
      <c r="J56" s="59" t="str">
        <f>IFERROR(__xludf.DUMMYFUNCTION("""COMPUTED_VALUE"""),"USD/Ct.")</f>
        <v>USD/Ct.</v>
      </c>
      <c r="K56" s="7"/>
      <c r="L56" s="60" t="str">
        <f>IFERROR(__xludf.DUMMYFUNCTION("""COMPUTED_VALUE"""),"4.00*4.00")</f>
        <v>4.00*4.00</v>
      </c>
      <c r="M56" s="61" t="str">
        <f>IFERROR(__xludf.DUMMYFUNCTION("""COMPUTED_VALUE"""),"33 pt")</f>
        <v>33 pt</v>
      </c>
      <c r="N56" s="59">
        <f>IFERROR(__xludf.DUMMYFUNCTION("""COMPUTED_VALUE"""),64.21052631578948)</f>
        <v>64.21052632</v>
      </c>
      <c r="O56" s="7"/>
      <c r="P56" s="58" t="str">
        <f>IFERROR(__xludf.DUMMYFUNCTION("""COMPUTED_VALUE"""),"3.00*4.50*7.50")</f>
        <v>3.00*4.50*7.50</v>
      </c>
      <c r="Q56" s="46" t="str">
        <f>IFERROR(__xludf.DUMMYFUNCTION("""COMPUTED_VALUE"""),"79 pt")</f>
        <v>79 pt</v>
      </c>
      <c r="R56" s="59">
        <f>IFERROR(__xludf.DUMMYFUNCTION("""COMPUTED_VALUE"""),105.26315789473684)</f>
        <v>105.2631579</v>
      </c>
    </row>
    <row r="57">
      <c r="A57" s="45"/>
      <c r="B57" s="46" t="str">
        <f>IFERROR(__xludf.DUMMYFUNCTION("""COMPUTED_VALUE"""),"20.5-21")</f>
        <v>20.5-21</v>
      </c>
      <c r="C57" s="121"/>
      <c r="D57" s="47" t="str">
        <f>IFERROR(__xludf.DUMMYFUNCTION("""COMPUTED_VALUE"""),"4.80-4.90mm")</f>
        <v>4.80-4.90mm</v>
      </c>
      <c r="E57" s="49">
        <f>IFERROR(__xludf.DUMMYFUNCTION("""COMPUTED_VALUE"""),50.526315789473685)</f>
        <v>50.52631579</v>
      </c>
      <c r="F57" s="52">
        <f>IFERROR(__xludf.DUMMYFUNCTION("""COMPUTED_VALUE"""),64.26315789473684)</f>
        <v>64.26315789</v>
      </c>
      <c r="G57" s="7"/>
      <c r="H57" s="58" t="str">
        <f>IFERROR(__xludf.DUMMYFUNCTION("""COMPUTED_VALUE"""),"1.50*2.50")</f>
        <v>1.50*2.50</v>
      </c>
      <c r="I57" s="46" t="str">
        <f>IFERROR(__xludf.DUMMYFUNCTION("""COMPUTED_VALUE"""),"2 pt")</f>
        <v>2 pt</v>
      </c>
      <c r="J57" s="59">
        <f>IFERROR(__xludf.DUMMYFUNCTION("""COMPUTED_VALUE"""),125.26315789473684)</f>
        <v>125.2631579</v>
      </c>
      <c r="K57" s="7"/>
      <c r="L57" s="60" t="str">
        <f>IFERROR(__xludf.DUMMYFUNCTION("""COMPUTED_VALUE"""),"4.65*4.65")</f>
        <v>4.65*4.65</v>
      </c>
      <c r="M57" s="61" t="str">
        <f>IFERROR(__xludf.DUMMYFUNCTION("""COMPUTED_VALUE"""),"50 pt")</f>
        <v>50 pt</v>
      </c>
      <c r="N57" s="59">
        <f>IFERROR(__xludf.DUMMYFUNCTION("""COMPUTED_VALUE"""),72.63157894736842)</f>
        <v>72.63157895</v>
      </c>
      <c r="O57" s="7"/>
      <c r="P57" s="102" t="str">
        <f>IFERROR(__xludf.DUMMYFUNCTION("""COMPUTED_VALUE"""),"3.00*5.00*8.00")</f>
        <v>3.00*5.00*8.00</v>
      </c>
      <c r="Q57" s="63" t="str">
        <f>IFERROR(__xludf.DUMMYFUNCTION("""COMPUTED_VALUE"""),"1.05 ct")</f>
        <v>1.05 ct</v>
      </c>
      <c r="R57" s="101">
        <f>IFERROR(__xludf.DUMMYFUNCTION("""COMPUTED_VALUE"""),105.26315789473684)</f>
        <v>105.2631579</v>
      </c>
    </row>
    <row r="58">
      <c r="A58" s="62"/>
      <c r="B58" s="63" t="str">
        <f>IFERROR(__xludf.DUMMYFUNCTION("""COMPUTED_VALUE"""),"20.5-21")</f>
        <v>20.5-21</v>
      </c>
      <c r="C58" s="123"/>
      <c r="D58" s="64" t="str">
        <f>IFERROR(__xludf.DUMMYFUNCTION("""COMPUTED_VALUE"""),"4.90-5.00mm")</f>
        <v>4.90-5.00mm</v>
      </c>
      <c r="E58" s="66">
        <f>IFERROR(__xludf.DUMMYFUNCTION("""COMPUTED_VALUE"""),52.63157894736842)</f>
        <v>52.63157895</v>
      </c>
      <c r="F58" s="69">
        <f>IFERROR(__xludf.DUMMYFUNCTION("""COMPUTED_VALUE"""),64.26315789473684)</f>
        <v>64.26315789</v>
      </c>
      <c r="G58" s="7"/>
      <c r="H58" s="58" t="str">
        <f>IFERROR(__xludf.DUMMYFUNCTION("""COMPUTED_VALUE"""),"1.80*2.80")</f>
        <v>1.80*2.80</v>
      </c>
      <c r="I58" s="46" t="str">
        <f>IFERROR(__xludf.DUMMYFUNCTION("""COMPUTED_VALUE"""),"4 pt")</f>
        <v>4 pt</v>
      </c>
      <c r="J58" s="59">
        <f>IFERROR(__xludf.DUMMYFUNCTION("""COMPUTED_VALUE"""),102.10526315789474)</f>
        <v>102.1052632</v>
      </c>
      <c r="K58" s="7"/>
      <c r="L58" s="60" t="str">
        <f>IFERROR(__xludf.DUMMYFUNCTION("""COMPUTED_VALUE"""),"5.15*5.15")</f>
        <v>5.15*5.15</v>
      </c>
      <c r="M58" s="61" t="str">
        <f>IFERROR(__xludf.DUMMYFUNCTION("""COMPUTED_VALUE"""),"70 pt")</f>
        <v>70 pt</v>
      </c>
      <c r="N58" s="59">
        <f>IFERROR(__xludf.DUMMYFUNCTION("""COMPUTED_VALUE"""),66.3157894736842)</f>
        <v>66.31578947</v>
      </c>
      <c r="O58" s="7"/>
      <c r="P58" s="25" t="str">
        <f>IFERROR(__xludf.DUMMYFUNCTION("""COMPUTED_VALUE"""),"RAD/雷迪恩")</f>
        <v>RAD/雷迪恩</v>
      </c>
    </row>
    <row r="59">
      <c r="A59" s="125"/>
      <c r="B59" s="126" t="str">
        <f>IFERROR(__xludf.DUMMYFUNCTION("""COMPUTED_VALUE"""),"5.00-5.10mm")</f>
        <v>5.00-5.10mm</v>
      </c>
      <c r="C59" s="127"/>
      <c r="D59" s="126" t="str">
        <f>IFERROR(__xludf.DUMMYFUNCTION("""COMPUTED_VALUE"""),"5.00-5.10mm")</f>
        <v>5.00-5.10mm</v>
      </c>
      <c r="E59" s="128">
        <f>IFERROR(__xludf.DUMMYFUNCTION("""COMPUTED_VALUE"""),56.8421052631579)</f>
        <v>56.84210526</v>
      </c>
      <c r="F59" s="129" t="str">
        <f>IFERROR(__xludf.DUMMYFUNCTION("""COMPUTED_VALUE"""),"-")</f>
        <v>-</v>
      </c>
      <c r="G59" s="7"/>
      <c r="H59" s="58" t="str">
        <f>IFERROR(__xludf.DUMMYFUNCTION("""COMPUTED_VALUE"""),"2.00*3.00")</f>
        <v>2.00*3.00</v>
      </c>
      <c r="I59" s="46" t="str">
        <f>IFERROR(__xludf.DUMMYFUNCTION("""COMPUTED_VALUE"""),"5 pt")</f>
        <v>5 pt</v>
      </c>
      <c r="J59" s="59">
        <f>IFERROR(__xludf.DUMMYFUNCTION("""COMPUTED_VALUE"""),71.57894736842105)</f>
        <v>71.57894737</v>
      </c>
      <c r="K59" s="7"/>
      <c r="L59" s="60" t="str">
        <f>IFERROR(__xludf.DUMMYFUNCTION("""COMPUTED_VALUE"""),"5.80*5.80")</f>
        <v>5.80*5.80</v>
      </c>
      <c r="M59" s="61" t="str">
        <f>IFERROR(__xludf.DUMMYFUNCTION("""COMPUTED_VALUE"""),"1.00 ct")</f>
        <v>1.00 ct</v>
      </c>
      <c r="N59" s="59">
        <f>IFERROR(__xludf.DUMMYFUNCTION("""COMPUTED_VALUE"""),72.63157894736842)</f>
        <v>72.63157895</v>
      </c>
      <c r="O59" s="7"/>
      <c r="P59" s="51" t="str">
        <f>IFERROR(__xludf.DUMMYFUNCTION("""COMPUTED_VALUE"""),"MM SIZE W/L")</f>
        <v>MM SIZE W/L</v>
      </c>
      <c r="Q59" s="53" t="str">
        <f>IFERROR(__xludf.DUMMYFUNCTION("""COMPUTED_VALUE"""),"PTS")</f>
        <v>PTS</v>
      </c>
      <c r="R59" s="54" t="str">
        <f>IFERROR(__xludf.DUMMYFUNCTION("""COMPUTED_VALUE"""),"USD/Ct.")</f>
        <v>USD/Ct.</v>
      </c>
    </row>
    <row r="60">
      <c r="A60" s="45"/>
      <c r="B60" s="56" t="str">
        <f>IFERROR(__xludf.DUMMYFUNCTION("""COMPUTED_VALUE"""),"5.50-5.60mm")</f>
        <v>5.50-5.60mm</v>
      </c>
      <c r="C60" s="131"/>
      <c r="D60" s="56" t="str">
        <f>IFERROR(__xludf.DUMMYFUNCTION("""COMPUTED_VALUE"""),"5.50-5.60mm")</f>
        <v>5.50-5.60mm</v>
      </c>
      <c r="E60" s="132">
        <f>IFERROR(__xludf.DUMMYFUNCTION("""COMPUTED_VALUE"""),53.68421052631579)</f>
        <v>53.68421053</v>
      </c>
      <c r="F60" s="133" t="str">
        <f>IFERROR(__xludf.DUMMYFUNCTION("""COMPUTED_VALUE"""),"-")</f>
        <v>-</v>
      </c>
      <c r="G60" s="7"/>
      <c r="H60" s="58" t="str">
        <f>IFERROR(__xludf.DUMMYFUNCTION("""COMPUTED_VALUE"""),"2.50*3.50")</f>
        <v>2.50*3.50</v>
      </c>
      <c r="I60" s="46" t="str">
        <f>IFERROR(__xludf.DUMMYFUNCTION("""COMPUTED_VALUE"""),"9 pt")</f>
        <v>9 pt</v>
      </c>
      <c r="J60" s="59">
        <f>IFERROR(__xludf.DUMMYFUNCTION("""COMPUTED_VALUE"""),57.89473684210526)</f>
        <v>57.89473684</v>
      </c>
      <c r="K60" s="7"/>
      <c r="L60" s="60" t="str">
        <f>IFERROR(__xludf.DUMMYFUNCTION("""COMPUTED_VALUE"""),"ASC/阿斯切")</f>
        <v>ASC/阿斯切</v>
      </c>
      <c r="M60" s="61"/>
      <c r="N60" s="59"/>
      <c r="O60" s="7"/>
      <c r="P60" s="58" t="str">
        <f>IFERROR(__xludf.DUMMYFUNCTION("""COMPUTED_VALUE"""),"2.20*3.00")</f>
        <v>2.20*3.00</v>
      </c>
      <c r="Q60" s="46" t="str">
        <f>IFERROR(__xludf.DUMMYFUNCTION("""COMPUTED_VALUE"""),"10 pt")</f>
        <v>10 pt</v>
      </c>
      <c r="R60" s="59">
        <f>IFERROR(__xludf.DUMMYFUNCTION("""COMPUTED_VALUE"""),68.42105263157895)</f>
        <v>68.42105263</v>
      </c>
    </row>
    <row r="61">
      <c r="A61" s="45"/>
      <c r="B61" s="56" t="str">
        <f>IFERROR(__xludf.DUMMYFUNCTION("""COMPUTED_VALUE"""),"6.00-6.10mm")</f>
        <v>6.00-6.10mm</v>
      </c>
      <c r="C61" s="131"/>
      <c r="D61" s="56" t="str">
        <f>IFERROR(__xludf.DUMMYFUNCTION("""COMPUTED_VALUE"""),"6.00-6.10mm")</f>
        <v>6.00-6.10mm</v>
      </c>
      <c r="E61" s="132">
        <f>IFERROR(__xludf.DUMMYFUNCTION("""COMPUTED_VALUE"""),54.73684210526316)</f>
        <v>54.73684211</v>
      </c>
      <c r="F61" s="133" t="str">
        <f>IFERROR(__xludf.DUMMYFUNCTION("""COMPUTED_VALUE"""),"-")</f>
        <v>-</v>
      </c>
      <c r="G61" s="7"/>
      <c r="H61" s="58" t="str">
        <f>IFERROR(__xludf.DUMMYFUNCTION("""COMPUTED_VALUE"""),"2.60*3.70")</f>
        <v>2.60*3.70</v>
      </c>
      <c r="I61" s="46" t="str">
        <f>IFERROR(__xludf.DUMMYFUNCTION("""COMPUTED_VALUE"""),"10 pt")</f>
        <v>10 pt</v>
      </c>
      <c r="J61" s="59">
        <f>IFERROR(__xludf.DUMMYFUNCTION("""COMPUTED_VALUE"""),62.10526315789474)</f>
        <v>62.10526316</v>
      </c>
      <c r="K61" s="7"/>
      <c r="L61" s="60" t="str">
        <f>IFERROR(__xludf.DUMMYFUNCTION("""COMPUTED_VALUE"""),"MM SIZE W/L")</f>
        <v>MM SIZE W/L</v>
      </c>
      <c r="M61" s="61" t="str">
        <f>IFERROR(__xludf.DUMMYFUNCTION("""COMPUTED_VALUE"""),"PTS")</f>
        <v>PTS</v>
      </c>
      <c r="N61" s="59" t="str">
        <f>IFERROR(__xludf.DUMMYFUNCTION("""COMPUTED_VALUE"""),"USD/Ct.")</f>
        <v>USD/Ct.</v>
      </c>
      <c r="O61" s="7"/>
      <c r="P61" s="58" t="str">
        <f>IFERROR(__xludf.DUMMYFUNCTION("""COMPUTED_VALUE"""),"2.50*3.50")</f>
        <v>2.50*3.50</v>
      </c>
      <c r="Q61" s="46" t="str">
        <f>IFERROR(__xludf.DUMMYFUNCTION("""COMPUTED_VALUE"""),"15 pt")</f>
        <v>15 pt</v>
      </c>
      <c r="R61" s="59">
        <f>IFERROR(__xludf.DUMMYFUNCTION("""COMPUTED_VALUE"""),64.21052631578948)</f>
        <v>64.21052632</v>
      </c>
    </row>
    <row r="62">
      <c r="A62" s="45"/>
      <c r="B62" s="56" t="str">
        <f>IFERROR(__xludf.DUMMYFUNCTION("""COMPUTED_VALUE"""),"6.50-6.60mm")</f>
        <v>6.50-6.60mm</v>
      </c>
      <c r="C62" s="131"/>
      <c r="D62" s="56" t="str">
        <f>IFERROR(__xludf.DUMMYFUNCTION("""COMPUTED_VALUE"""),"6.50-6.60mm")</f>
        <v>6.50-6.60mm</v>
      </c>
      <c r="E62" s="132">
        <f>IFERROR(__xludf.DUMMYFUNCTION("""COMPUTED_VALUE"""),68.42105263157895)</f>
        <v>68.42105263</v>
      </c>
      <c r="F62" s="133" t="str">
        <f>IFERROR(__xludf.DUMMYFUNCTION("""COMPUTED_VALUE"""),"-")</f>
        <v>-</v>
      </c>
      <c r="G62" s="7"/>
      <c r="H62" s="58" t="str">
        <f>IFERROR(__xludf.DUMMYFUNCTION("""COMPUTED_VALUE"""),"3.00*4.00")</f>
        <v>3.00*4.00</v>
      </c>
      <c r="I62" s="46" t="str">
        <f>IFERROR(__xludf.DUMMYFUNCTION("""COMPUTED_VALUE"""),"15 pt")</f>
        <v>15 pt</v>
      </c>
      <c r="J62" s="59">
        <f>IFERROR(__xludf.DUMMYFUNCTION("""COMPUTED_VALUE"""),69.47368421052632)</f>
        <v>69.47368421</v>
      </c>
      <c r="K62" s="7"/>
      <c r="L62" s="60" t="str">
        <f>IFERROR(__xludf.DUMMYFUNCTION("""COMPUTED_VALUE"""),"3.00*3.00")</f>
        <v>3.00*3.00</v>
      </c>
      <c r="M62" s="61" t="str">
        <f>IFERROR(__xludf.DUMMYFUNCTION("""COMPUTED_VALUE"""),"17 pt")</f>
        <v>17 pt</v>
      </c>
      <c r="N62" s="59">
        <f>IFERROR(__xludf.DUMMYFUNCTION("""COMPUTED_VALUE"""),64.21052631578948)</f>
        <v>64.21052632</v>
      </c>
      <c r="O62" s="7"/>
      <c r="P62" s="58" t="str">
        <f>IFERROR(__xludf.DUMMYFUNCTION("""COMPUTED_VALUE"""),"3.00*4.00")</f>
        <v>3.00*4.00</v>
      </c>
      <c r="Q62" s="46" t="str">
        <f>IFERROR(__xludf.DUMMYFUNCTION("""COMPUTED_VALUE"""),"20 pt")</f>
        <v>20 pt</v>
      </c>
      <c r="R62" s="59">
        <f>IFERROR(__xludf.DUMMYFUNCTION("""COMPUTED_VALUE"""),71.57894736842105)</f>
        <v>71.57894737</v>
      </c>
    </row>
    <row r="63">
      <c r="A63" s="62"/>
      <c r="B63" s="135" t="str">
        <f>IFERROR(__xludf.DUMMYFUNCTION("""COMPUTED_VALUE"""),"7.00-7.10mm")</f>
        <v>7.00-7.10mm</v>
      </c>
      <c r="C63" s="136"/>
      <c r="D63" s="135" t="str">
        <f>IFERROR(__xludf.DUMMYFUNCTION("""COMPUTED_VALUE"""),"7.00-7.10mm")</f>
        <v>7.00-7.10mm</v>
      </c>
      <c r="E63" s="137">
        <f>IFERROR(__xludf.DUMMYFUNCTION("""COMPUTED_VALUE"""),62.10526315789474)</f>
        <v>62.10526316</v>
      </c>
      <c r="F63" s="139" t="str">
        <f>IFERROR(__xludf.DUMMYFUNCTION("""COMPUTED_VALUE"""),"-")</f>
        <v>-</v>
      </c>
      <c r="G63" s="7"/>
      <c r="H63" s="58" t="str">
        <f>IFERROR(__xludf.DUMMYFUNCTION("""COMPUTED_VALUE"""),"3.00*4.50")</f>
        <v>3.00*4.50</v>
      </c>
      <c r="I63" s="46" t="str">
        <f>IFERROR(__xludf.DUMMYFUNCTION("""COMPUTED_VALUE"""),"17 pt")</f>
        <v>17 pt</v>
      </c>
      <c r="J63" s="59">
        <f>IFERROR(__xludf.DUMMYFUNCTION("""COMPUTED_VALUE"""),60.0)</f>
        <v>60</v>
      </c>
      <c r="K63" s="7"/>
      <c r="L63" s="60" t="str">
        <f>IFERROR(__xludf.DUMMYFUNCTION("""COMPUTED_VALUE"""),"3.15*3.15")</f>
        <v>3.15*3.15</v>
      </c>
      <c r="M63" s="61" t="str">
        <f>IFERROR(__xludf.DUMMYFUNCTION("""COMPUTED_VALUE"""),"20 pt")</f>
        <v>20 pt</v>
      </c>
      <c r="N63" s="59">
        <f>IFERROR(__xludf.DUMMYFUNCTION("""COMPUTED_VALUE"""),64.21052631578948)</f>
        <v>64.21052632</v>
      </c>
      <c r="O63" s="7"/>
      <c r="P63" s="58" t="str">
        <f>IFERROR(__xludf.DUMMYFUNCTION("""COMPUTED_VALUE"""),"3.00*5.00")</f>
        <v>3.00*5.00</v>
      </c>
      <c r="Q63" s="46" t="str">
        <f>IFERROR(__xludf.DUMMYFUNCTION("""COMPUTED_VALUE"""),"27 pt")</f>
        <v>27 pt</v>
      </c>
      <c r="R63" s="59">
        <f>IFERROR(__xludf.DUMMYFUNCTION("""COMPUTED_VALUE"""),68.42105263157895)</f>
        <v>68.42105263</v>
      </c>
    </row>
    <row r="64">
      <c r="A64" s="36" t="str">
        <f>IFERROR(__xludf.DUMMYFUNCTION("""COMPUTED_VALUE"""),"50'S")</f>
        <v>50'S</v>
      </c>
      <c r="B64" s="127"/>
      <c r="C64" s="37" t="str">
        <f>IFERROR(__xludf.DUMMYFUNCTION("""COMPUTED_VALUE"""),"50-54 pts")</f>
        <v>50-54 pts</v>
      </c>
      <c r="D64" s="37" t="str">
        <f>IFERROR(__xludf.DUMMYFUNCTION("""COMPUTED_VALUE"""),"5.00-5.20mm")</f>
        <v>5.00-5.20mm</v>
      </c>
      <c r="E64" s="41">
        <f>IFERROR(__xludf.DUMMYFUNCTION("""COMPUTED_VALUE"""),55.78947368421053)</f>
        <v>55.78947368</v>
      </c>
      <c r="F64" s="43">
        <f>IFERROR(__xludf.DUMMYFUNCTION("""COMPUTED_VALUE"""),68.42105263157895)</f>
        <v>68.42105263</v>
      </c>
      <c r="G64" s="7"/>
      <c r="H64" s="58" t="str">
        <f>IFERROR(__xludf.DUMMYFUNCTION("""COMPUTED_VALUE"""),"3.00*5.00")</f>
        <v>3.00*5.00</v>
      </c>
      <c r="I64" s="46" t="str">
        <f>IFERROR(__xludf.DUMMYFUNCTION("""COMPUTED_VALUE"""),"18 pt")</f>
        <v>18 pt</v>
      </c>
      <c r="J64" s="59">
        <f>IFERROR(__xludf.DUMMYFUNCTION("""COMPUTED_VALUE"""),68.42105263157895)</f>
        <v>68.42105263</v>
      </c>
      <c r="K64" s="7"/>
      <c r="L64" s="60" t="str">
        <f>IFERROR(__xludf.DUMMYFUNCTION("""COMPUTED_VALUE"""),"3.50*3.50")</f>
        <v>3.50*3.50</v>
      </c>
      <c r="M64" s="61" t="str">
        <f>IFERROR(__xludf.DUMMYFUNCTION("""COMPUTED_VALUE"""),"27 pt")</f>
        <v>27 pt</v>
      </c>
      <c r="N64" s="59">
        <f>IFERROR(__xludf.DUMMYFUNCTION("""COMPUTED_VALUE"""),64.21052631578948)</f>
        <v>64.21052632</v>
      </c>
      <c r="O64" s="7"/>
      <c r="P64" s="58" t="str">
        <f>IFERROR(__xludf.DUMMYFUNCTION("""COMPUTED_VALUE"""),"3.20*4.40")</f>
        <v>3.20*4.40</v>
      </c>
      <c r="Q64" s="46" t="str">
        <f>IFERROR(__xludf.DUMMYFUNCTION("""COMPUTED_VALUE"""),"30 pt")</f>
        <v>30 pt</v>
      </c>
      <c r="R64" s="59">
        <f>IFERROR(__xludf.DUMMYFUNCTION("""COMPUTED_VALUE"""),73.6842105263158)</f>
        <v>73.68421053</v>
      </c>
    </row>
    <row r="65">
      <c r="A65" s="62"/>
      <c r="B65" s="136"/>
      <c r="C65" s="63" t="str">
        <f>IFERROR(__xludf.DUMMYFUNCTION("""COMPUTED_VALUE"""),"55-59 pts")</f>
        <v>55-59 pts</v>
      </c>
      <c r="D65" s="63" t="str">
        <f>IFERROR(__xludf.DUMMYFUNCTION("""COMPUTED_VALUE"""),"5.20-5.35mm")</f>
        <v>5.20-5.35mm</v>
      </c>
      <c r="E65" s="66">
        <f>IFERROR(__xludf.DUMMYFUNCTION("""COMPUTED_VALUE"""),52.63157894736842)</f>
        <v>52.63157895</v>
      </c>
      <c r="F65" s="69">
        <f>IFERROR(__xludf.DUMMYFUNCTION("""COMPUTED_VALUE"""),68.42105263157895)</f>
        <v>68.42105263</v>
      </c>
      <c r="G65" s="7"/>
      <c r="H65" s="58" t="str">
        <f>IFERROR(__xludf.DUMMYFUNCTION("""COMPUTED_VALUE"""),"3.25*4.55")</f>
        <v>3.25*4.55</v>
      </c>
      <c r="I65" s="46" t="str">
        <f>IFERROR(__xludf.DUMMYFUNCTION("""COMPUTED_VALUE"""),"20 pt")</f>
        <v>20 pt</v>
      </c>
      <c r="J65" s="59">
        <f>IFERROR(__xludf.DUMMYFUNCTION("""COMPUTED_VALUE"""),63.1578947368421)</f>
        <v>63.15789474</v>
      </c>
      <c r="K65" s="7"/>
      <c r="L65" s="60" t="str">
        <f>IFERROR(__xludf.DUMMYFUNCTION("""COMPUTED_VALUE"""),"3.70*3.70")</f>
        <v>3.70*3.70</v>
      </c>
      <c r="M65" s="61" t="str">
        <f>IFERROR(__xludf.DUMMYFUNCTION("""COMPUTED_VALUE"""),"30 pt")</f>
        <v>30 pt</v>
      </c>
      <c r="N65" s="59">
        <f>IFERROR(__xludf.DUMMYFUNCTION("""COMPUTED_VALUE"""),64.21052631578948)</f>
        <v>64.21052632</v>
      </c>
      <c r="O65" s="7"/>
      <c r="P65" s="58" t="str">
        <f>IFERROR(__xludf.DUMMYFUNCTION("""COMPUTED_VALUE"""),"3.35*4.70")</f>
        <v>3.35*4.70</v>
      </c>
      <c r="Q65" s="46" t="str">
        <f>IFERROR(__xludf.DUMMYFUNCTION("""COMPUTED_VALUE"""),"30 pt")</f>
        <v>30 pt</v>
      </c>
      <c r="R65" s="59">
        <f>IFERROR(__xludf.DUMMYFUNCTION("""COMPUTED_VALUE"""),68.42105263157895)</f>
        <v>68.42105263</v>
      </c>
    </row>
    <row r="66">
      <c r="A66" s="36" t="str">
        <f>IFERROR(__xludf.DUMMYFUNCTION("""COMPUTED_VALUE"""),"60'S")</f>
        <v>60'S</v>
      </c>
      <c r="B66" s="127"/>
      <c r="C66" s="37" t="str">
        <f>IFERROR(__xludf.DUMMYFUNCTION("""COMPUTED_VALUE"""),"60-64 pts")</f>
        <v>60-64 pts</v>
      </c>
      <c r="D66" s="37" t="str">
        <f>IFERROR(__xludf.DUMMYFUNCTION("""COMPUTED_VALUE"""),"5.40-5.55mm")</f>
        <v>5.40-5.55mm</v>
      </c>
      <c r="E66" s="41">
        <f>IFERROR(__xludf.DUMMYFUNCTION("""COMPUTED_VALUE"""),53.68421052631579)</f>
        <v>53.68421053</v>
      </c>
      <c r="F66" s="43">
        <f>IFERROR(__xludf.DUMMYFUNCTION("""COMPUTED_VALUE"""),68.42105263157895)</f>
        <v>68.42105263</v>
      </c>
      <c r="G66" s="7"/>
      <c r="H66" s="58" t="str">
        <f>IFERROR(__xludf.DUMMYFUNCTION("""COMPUTED_VALUE"""),"3.35*4.70")</f>
        <v>3.35*4.70</v>
      </c>
      <c r="I66" s="46" t="str">
        <f>IFERROR(__xludf.DUMMYFUNCTION("""COMPUTED_VALUE"""),"20 pt")</f>
        <v>20 pt</v>
      </c>
      <c r="J66" s="59">
        <f>IFERROR(__xludf.DUMMYFUNCTION("""COMPUTED_VALUE"""),64.21052631578948)</f>
        <v>64.21052632</v>
      </c>
      <c r="K66" s="7"/>
      <c r="L66" s="60" t="str">
        <f>IFERROR(__xludf.DUMMYFUNCTION("""COMPUTED_VALUE"""),"4.35*4.35")</f>
        <v>4.35*4.35</v>
      </c>
      <c r="M66" s="61" t="str">
        <f>IFERROR(__xludf.DUMMYFUNCTION("""COMPUTED_VALUE"""),"50 pt")</f>
        <v>50 pt</v>
      </c>
      <c r="N66" s="59">
        <f>IFERROR(__xludf.DUMMYFUNCTION("""COMPUTED_VALUE"""),68.42105263157895)</f>
        <v>68.42105263</v>
      </c>
      <c r="O66" s="7"/>
      <c r="P66" s="58" t="str">
        <f>IFERROR(__xludf.DUMMYFUNCTION("""COMPUTED_VALUE"""),"3.50*5.00")</f>
        <v>3.50*5.00</v>
      </c>
      <c r="Q66" s="46" t="str">
        <f>IFERROR(__xludf.DUMMYFUNCTION("""COMPUTED_VALUE"""),"40 pt")</f>
        <v>40 pt</v>
      </c>
      <c r="R66" s="59">
        <f>IFERROR(__xludf.DUMMYFUNCTION("""COMPUTED_VALUE"""),72.63157894736842)</f>
        <v>72.63157895</v>
      </c>
    </row>
    <row r="67">
      <c r="A67" s="62"/>
      <c r="B67" s="136"/>
      <c r="C67" s="63" t="str">
        <f>IFERROR(__xludf.DUMMYFUNCTION("""COMPUTED_VALUE"""),"65-69 pts")</f>
        <v>65-69 pts</v>
      </c>
      <c r="D67" s="63" t="str">
        <f>IFERROR(__xludf.DUMMYFUNCTION("""COMPUTED_VALUE"""),"5.50-5.70mm")</f>
        <v>5.50-5.70mm</v>
      </c>
      <c r="E67" s="66">
        <f>IFERROR(__xludf.DUMMYFUNCTION("""COMPUTED_VALUE"""),54.73684210526316)</f>
        <v>54.73684211</v>
      </c>
      <c r="F67" s="69">
        <f>IFERROR(__xludf.DUMMYFUNCTION("""COMPUTED_VALUE"""),68.42105263157895)</f>
        <v>68.42105263</v>
      </c>
      <c r="G67" s="7"/>
      <c r="H67" s="58" t="str">
        <f>IFERROR(__xludf.DUMMYFUNCTION("""COMPUTED_VALUE"""),"3.50*5.00")</f>
        <v>3.50*5.00</v>
      </c>
      <c r="I67" s="46" t="str">
        <f>IFERROR(__xludf.DUMMYFUNCTION("""COMPUTED_VALUE"""),"25 pt")</f>
        <v>25 pt</v>
      </c>
      <c r="J67" s="59">
        <f>IFERROR(__xludf.DUMMYFUNCTION("""COMPUTED_VALUE"""),61.05263157894737)</f>
        <v>61.05263158</v>
      </c>
      <c r="K67" s="7"/>
      <c r="L67" s="60" t="str">
        <f>IFERROR(__xludf.DUMMYFUNCTION("""COMPUTED_VALUE"""),"5.00*5.00")</f>
        <v>5.00*5.00</v>
      </c>
      <c r="M67" s="61" t="str">
        <f>IFERROR(__xludf.DUMMYFUNCTION("""COMPUTED_VALUE"""),"75 pt")</f>
        <v>75 pt</v>
      </c>
      <c r="N67" s="59">
        <f>IFERROR(__xludf.DUMMYFUNCTION("""COMPUTED_VALUE"""),64.21052631578948)</f>
        <v>64.21052632</v>
      </c>
      <c r="O67" s="7"/>
      <c r="P67" s="58" t="str">
        <f>IFERROR(__xludf.DUMMYFUNCTION("""COMPUTED_VALUE"""),"3.80*5.40")</f>
        <v>3.80*5.40</v>
      </c>
      <c r="Q67" s="46" t="str">
        <f>IFERROR(__xludf.DUMMYFUNCTION("""COMPUTED_VALUE"""),"45 pt")</f>
        <v>45 pt</v>
      </c>
      <c r="R67" s="59">
        <f>IFERROR(__xludf.DUMMYFUNCTION("""COMPUTED_VALUE"""),69.47368421052632)</f>
        <v>69.47368421</v>
      </c>
    </row>
    <row r="68">
      <c r="A68" s="36" t="str">
        <f>IFERROR(__xludf.DUMMYFUNCTION("""COMPUTED_VALUE"""),"70'S")</f>
        <v>70'S</v>
      </c>
      <c r="B68" s="127"/>
      <c r="C68" s="39" t="str">
        <f>IFERROR(__xludf.DUMMYFUNCTION("""COMPUTED_VALUE"""),"70-73 pts")</f>
        <v>70-73 pts</v>
      </c>
      <c r="D68" s="39" t="str">
        <f>IFERROR(__xludf.DUMMYFUNCTION("""COMPUTED_VALUE"""),"5.70-6.10mm")</f>
        <v>5.70-6.10mm</v>
      </c>
      <c r="E68" s="41">
        <f>IFERROR(__xludf.DUMMYFUNCTION("""COMPUTED_VALUE"""),50.526315789473685)</f>
        <v>50.52631579</v>
      </c>
      <c r="F68" s="43">
        <f>IFERROR(__xludf.DUMMYFUNCTION("""COMPUTED_VALUE"""),78.94736842105263)</f>
        <v>78.94736842</v>
      </c>
      <c r="G68" s="7"/>
      <c r="H68" s="102" t="str">
        <f>IFERROR(__xludf.DUMMYFUNCTION("""COMPUTED_VALUE"""),"3.80*5.30")</f>
        <v>3.80*5.30</v>
      </c>
      <c r="I68" s="63" t="str">
        <f>IFERROR(__xludf.DUMMYFUNCTION("""COMPUTED_VALUE"""),"30 pt")</f>
        <v>30 pt</v>
      </c>
      <c r="J68" s="101">
        <f>IFERROR(__xludf.DUMMYFUNCTION("""COMPUTED_VALUE"""),64.21052631578948)</f>
        <v>64.21052632</v>
      </c>
      <c r="K68" s="7"/>
      <c r="L68" s="96" t="str">
        <f>IFERROR(__xludf.DUMMYFUNCTION("""COMPUTED_VALUE"""),"5.45*5.45")</f>
        <v>5.45*5.45</v>
      </c>
      <c r="M68" s="99" t="str">
        <f>IFERROR(__xludf.DUMMYFUNCTION("""COMPUTED_VALUE"""),"1.00 ct")</f>
        <v>1.00 ct</v>
      </c>
      <c r="N68" s="101">
        <f>IFERROR(__xludf.DUMMYFUNCTION("""COMPUTED_VALUE"""),72.63157894736842)</f>
        <v>72.63157895</v>
      </c>
      <c r="O68" s="7"/>
      <c r="P68" s="58" t="str">
        <f>IFERROR(__xludf.DUMMYFUNCTION("""COMPUTED_VALUE"""),"4.00*5.50")</f>
        <v>4.00*5.50</v>
      </c>
      <c r="Q68" s="46" t="str">
        <f>IFERROR(__xludf.DUMMYFUNCTION("""COMPUTED_VALUE"""),"50 pt")</f>
        <v>50 pt</v>
      </c>
      <c r="R68" s="59">
        <f>IFERROR(__xludf.DUMMYFUNCTION("""COMPUTED_VALUE"""),72.63157894736842)</f>
        <v>72.63157895</v>
      </c>
    </row>
    <row r="69">
      <c r="A69" s="62"/>
      <c r="B69" s="136"/>
      <c r="C69" s="64" t="str">
        <f>IFERROR(__xludf.DUMMYFUNCTION("""COMPUTED_VALUE"""),"73-79 pts")</f>
        <v>73-79 pts</v>
      </c>
      <c r="D69" s="64" t="str">
        <f>IFERROR(__xludf.DUMMYFUNCTION("""COMPUTED_VALUE"""),"5.90-6.10mm")</f>
        <v>5.90-6.10mm</v>
      </c>
      <c r="E69" s="66">
        <f>IFERROR(__xludf.DUMMYFUNCTION("""COMPUTED_VALUE"""),53.68421052631579)</f>
        <v>53.68421053</v>
      </c>
      <c r="F69" s="69">
        <f>IFERROR(__xludf.DUMMYFUNCTION("""COMPUTED_VALUE"""),78.94736842105263)</f>
        <v>78.94736842</v>
      </c>
      <c r="G69" s="7"/>
      <c r="H69" s="25" t="str">
        <f>IFERROR(__xludf.DUMMYFUNCTION("""COMPUTED_VALUE"""),"4.00*5.00")</f>
        <v>4.00*5.00</v>
      </c>
      <c r="K69" s="7"/>
      <c r="L69" s="25" t="str">
        <f>IFERROR(__xludf.DUMMYFUNCTION("""COMPUTED_VALUE"""),"HEART/心形")</f>
        <v>HEART/心形</v>
      </c>
      <c r="O69" s="7"/>
      <c r="P69" s="58" t="str">
        <f>IFERROR(__xludf.DUMMYFUNCTION("""COMPUTED_VALUE"""),"4.00*6.00")</f>
        <v>4.00*6.00</v>
      </c>
      <c r="Q69" s="46" t="str">
        <f>IFERROR(__xludf.DUMMYFUNCTION("""COMPUTED_VALUE"""),"57 pt")</f>
        <v>57 pt</v>
      </c>
      <c r="R69" s="59">
        <f>IFERROR(__xludf.DUMMYFUNCTION("""COMPUTED_VALUE"""),66.3157894736842)</f>
        <v>66.31578947</v>
      </c>
    </row>
    <row r="70">
      <c r="A70" s="36" t="str">
        <f>IFERROR(__xludf.DUMMYFUNCTION("""COMPUTED_VALUE"""),"80'S")</f>
        <v>80'S</v>
      </c>
      <c r="B70" s="127"/>
      <c r="C70" s="39" t="str">
        <f>IFERROR(__xludf.DUMMYFUNCTION("""COMPUTED_VALUE"""),"80-84 pts")</f>
        <v>80-84 pts</v>
      </c>
      <c r="D70" s="39" t="str">
        <f>IFERROR(__xludf.DUMMYFUNCTION("""COMPUTED_VALUE"""),"6.00-6.20mm")</f>
        <v>6.00-6.20mm</v>
      </c>
      <c r="E70" s="41">
        <f>IFERROR(__xludf.DUMMYFUNCTION("""COMPUTED_VALUE"""),52.63157894736842)</f>
        <v>52.63157895</v>
      </c>
      <c r="F70" s="43">
        <f>IFERROR(__xludf.DUMMYFUNCTION("""COMPUTED_VALUE"""),78.94736842105263)</f>
        <v>78.94736842</v>
      </c>
      <c r="G70" s="7"/>
      <c r="H70" s="51" t="str">
        <f>IFERROR(__xludf.DUMMYFUNCTION("""COMPUTED_VALUE"""),"4.00*5.60")</f>
        <v>4.00*5.60</v>
      </c>
      <c r="I70" s="53" t="str">
        <f>IFERROR(__xludf.DUMMYFUNCTION("""COMPUTED_VALUE"""),"35 pt")</f>
        <v>35 pt</v>
      </c>
      <c r="J70" s="107">
        <f>IFERROR(__xludf.DUMMYFUNCTION("""COMPUTED_VALUE"""),63.1578947368421)</f>
        <v>63.15789474</v>
      </c>
      <c r="K70" s="7"/>
      <c r="L70" s="144" t="str">
        <f>IFERROR(__xludf.DUMMYFUNCTION("""COMPUTED_VALUE"""),"MM SIZE W/L")</f>
        <v>MM SIZE W/L</v>
      </c>
      <c r="M70" s="145" t="str">
        <f>IFERROR(__xludf.DUMMYFUNCTION("""COMPUTED_VALUE"""),"PTS")</f>
        <v>PTS</v>
      </c>
      <c r="N70" s="146" t="str">
        <f>IFERROR(__xludf.DUMMYFUNCTION("""COMPUTED_VALUE"""),"USD/Ct.")</f>
        <v>USD/Ct.</v>
      </c>
      <c r="O70" s="7"/>
      <c r="P70" s="58" t="str">
        <f>IFERROR(__xludf.DUMMYFUNCTION("""COMPUTED_VALUE"""),"4.50*6.50")</f>
        <v>4.50*6.50</v>
      </c>
      <c r="Q70" s="46" t="str">
        <f>IFERROR(__xludf.DUMMYFUNCTION("""COMPUTED_VALUE"""),"75 pt")</f>
        <v>75 pt</v>
      </c>
      <c r="R70" s="59">
        <f>IFERROR(__xludf.DUMMYFUNCTION("""COMPUTED_VALUE"""),72.63157894736842)</f>
        <v>72.63157895</v>
      </c>
    </row>
    <row r="71">
      <c r="A71" s="62"/>
      <c r="B71" s="136"/>
      <c r="C71" s="64" t="str">
        <f>IFERROR(__xludf.DUMMYFUNCTION("""COMPUTED_VALUE"""),"85-89 pts")</f>
        <v>85-89 pts</v>
      </c>
      <c r="D71" s="64" t="str">
        <f>IFERROR(__xludf.DUMMYFUNCTION("""COMPUTED_VALUE"""),"6.10-6.20mm")</f>
        <v>6.10-6.20mm</v>
      </c>
      <c r="E71" s="66">
        <f>IFERROR(__xludf.DUMMYFUNCTION("""COMPUTED_VALUE"""),52.63157894736842)</f>
        <v>52.63157895</v>
      </c>
      <c r="F71" s="69">
        <f>IFERROR(__xludf.DUMMYFUNCTION("""COMPUTED_VALUE"""),78.94736842105263)</f>
        <v>78.94736842</v>
      </c>
      <c r="G71" s="7"/>
      <c r="H71" s="58" t="str">
        <f>IFERROR(__xludf.DUMMYFUNCTION("""COMPUTED_VALUE"""),"4.00*6.00")</f>
        <v>4.00*6.00</v>
      </c>
      <c r="I71" s="46" t="str">
        <f>IFERROR(__xludf.DUMMYFUNCTION("""COMPUTED_VALUE"""),"40 pt")</f>
        <v>40 pt</v>
      </c>
      <c r="J71" s="59">
        <f>IFERROR(__xludf.DUMMYFUNCTION("""COMPUTED_VALUE"""),62.10526315789474)</f>
        <v>62.10526316</v>
      </c>
      <c r="K71" s="7"/>
      <c r="L71" s="60" t="str">
        <f>IFERROR(__xludf.DUMMYFUNCTION("""COMPUTED_VALUE"""),"2.50*2.50")</f>
        <v>2.50*2.50</v>
      </c>
      <c r="M71" s="61" t="str">
        <f>IFERROR(__xludf.DUMMYFUNCTION("""COMPUTED_VALUE"""),"6 pt")</f>
        <v>6 pt</v>
      </c>
      <c r="N71" s="59">
        <f>IFERROR(__xludf.DUMMYFUNCTION("""COMPUTED_VALUE"""),105.26315789473684)</f>
        <v>105.2631579</v>
      </c>
      <c r="O71" s="7"/>
      <c r="P71" s="102" t="str">
        <f>IFERROR(__xludf.DUMMYFUNCTION("""COMPUTED_VALUE"""),"5.00*7.00")</f>
        <v>5.00*7.00</v>
      </c>
      <c r="Q71" s="63" t="str">
        <f>IFERROR(__xludf.DUMMYFUNCTION("""COMPUTED_VALUE"""),"1.00 ct")</f>
        <v>1.00 ct</v>
      </c>
      <c r="R71" s="101">
        <f>IFERROR(__xludf.DUMMYFUNCTION("""COMPUTED_VALUE"""),78.94736842105263)</f>
        <v>78.94736842</v>
      </c>
    </row>
    <row r="72">
      <c r="A72" s="36" t="str">
        <f>IFERROR(__xludf.DUMMYFUNCTION("""COMPUTED_VALUE"""),"90'S")</f>
        <v>90'S</v>
      </c>
      <c r="B72" s="127"/>
      <c r="C72" s="39" t="str">
        <f>IFERROR(__xludf.DUMMYFUNCTION("""COMPUTED_VALUE"""),"90-94 pts")</f>
        <v>90-94 pts</v>
      </c>
      <c r="D72" s="39" t="str">
        <f>IFERROR(__xludf.DUMMYFUNCTION("""COMPUTED_VALUE"""),"6.20-6.30mm")</f>
        <v>6.20-6.30mm</v>
      </c>
      <c r="E72" s="41">
        <f>IFERROR(__xludf.DUMMYFUNCTION("""COMPUTED_VALUE"""),52.63157894736842)</f>
        <v>52.63157895</v>
      </c>
      <c r="F72" s="43">
        <f>IFERROR(__xludf.DUMMYFUNCTION("""COMPUTED_VALUE"""),78.94736842105263)</f>
        <v>78.94736842</v>
      </c>
      <c r="G72" s="7"/>
      <c r="H72" s="58" t="str">
        <f>IFERROR(__xludf.DUMMYFUNCTION("""COMPUTED_VALUE"""),"4.50*6.30")</f>
        <v>4.50*6.30</v>
      </c>
      <c r="I72" s="46" t="str">
        <f>IFERROR(__xludf.DUMMYFUNCTION("""COMPUTED_VALUE"""),"50 pt")</f>
        <v>50 pt</v>
      </c>
      <c r="J72" s="59">
        <f>IFERROR(__xludf.DUMMYFUNCTION("""COMPUTED_VALUE"""),63.1578947368421)</f>
        <v>63.15789474</v>
      </c>
      <c r="K72" s="7"/>
      <c r="L72" s="60" t="str">
        <f>IFERROR(__xludf.DUMMYFUNCTION("""COMPUTED_VALUE"""),"3.00*3.00")</f>
        <v>3.00*3.00</v>
      </c>
      <c r="M72" s="61" t="str">
        <f>IFERROR(__xludf.DUMMYFUNCTION("""COMPUTED_VALUE"""),"8 pt")</f>
        <v>8 pt</v>
      </c>
      <c r="N72" s="59">
        <f>IFERROR(__xludf.DUMMYFUNCTION("""COMPUTED_VALUE"""),100.0)</f>
        <v>100</v>
      </c>
      <c r="O72" s="7"/>
      <c r="P72" s="25" t="str">
        <f>IFERROR(__xludf.DUMMYFUNCTION("""COMPUTED_VALUE"""),"TRILLIAN")</f>
        <v>TRILLIAN</v>
      </c>
    </row>
    <row r="73">
      <c r="A73" s="62"/>
      <c r="B73" s="136"/>
      <c r="C73" s="64" t="str">
        <f>IFERROR(__xludf.DUMMYFUNCTION("""COMPUTED_VALUE"""),"95-99 pts")</f>
        <v>95-99 pts</v>
      </c>
      <c r="D73" s="64" t="str">
        <f>IFERROR(__xludf.DUMMYFUNCTION("""COMPUTED_VALUE"""),"6.25-6.35mm")</f>
        <v>6.25-6.35mm</v>
      </c>
      <c r="E73" s="66">
        <f>IFERROR(__xludf.DUMMYFUNCTION("""COMPUTED_VALUE"""),57.89473684210526)</f>
        <v>57.89473684</v>
      </c>
      <c r="F73" s="69">
        <f>IFERROR(__xludf.DUMMYFUNCTION("""COMPUTED_VALUE"""),89.47368421052632)</f>
        <v>89.47368421</v>
      </c>
      <c r="G73" s="7"/>
      <c r="H73" s="58" t="str">
        <f>IFERROR(__xludf.DUMMYFUNCTION("""COMPUTED_VALUE"""),"5.05*7.05")</f>
        <v>5.05*7.05</v>
      </c>
      <c r="I73" s="46" t="str">
        <f>IFERROR(__xludf.DUMMYFUNCTION("""COMPUTED_VALUE"""),"70 pt")</f>
        <v>70 pt</v>
      </c>
      <c r="J73" s="59">
        <f>IFERROR(__xludf.DUMMYFUNCTION("""COMPUTED_VALUE"""),69.47368421052632)</f>
        <v>69.47368421</v>
      </c>
      <c r="K73" s="7"/>
      <c r="L73" s="60" t="str">
        <f>IFERROR(__xludf.DUMMYFUNCTION("""COMPUTED_VALUE"""),"3.20*2.90")</f>
        <v>3.20*2.90</v>
      </c>
      <c r="M73" s="61" t="str">
        <f>IFERROR(__xludf.DUMMYFUNCTION("""COMPUTED_VALUE"""),"10 pt")</f>
        <v>10 pt</v>
      </c>
      <c r="N73" s="59">
        <f>IFERROR(__xludf.DUMMYFUNCTION("""COMPUTED_VALUE"""),100.0)</f>
        <v>100</v>
      </c>
      <c r="O73" s="7"/>
      <c r="P73" s="144" t="str">
        <f>IFERROR(__xludf.DUMMYFUNCTION("""COMPUTED_VALUE"""),"MM SIZE W/L")</f>
        <v>MM SIZE W/L</v>
      </c>
      <c r="Q73" s="145" t="str">
        <f>IFERROR(__xludf.DUMMYFUNCTION("""COMPUTED_VALUE"""),"PTS")</f>
        <v>PTS</v>
      </c>
      <c r="R73" s="54" t="str">
        <f>IFERROR(__xludf.DUMMYFUNCTION("""COMPUTED_VALUE"""),"USD/Ct.")</f>
        <v>USD/Ct.</v>
      </c>
    </row>
    <row r="74">
      <c r="A74" s="150" t="str">
        <f>IFERROR(__xludf.DUMMYFUNCTION("""COMPUTED_VALUE"""),"1 CT UP")</f>
        <v>1 CT UP</v>
      </c>
      <c r="B74" s="127"/>
      <c r="C74" s="39" t="str">
        <f>IFERROR(__xludf.DUMMYFUNCTION("""COMPUTED_VALUE"""),"1.00-1.10 ct")</f>
        <v>1.00-1.10 ct</v>
      </c>
      <c r="D74" s="39" t="str">
        <f>IFERROR(__xludf.DUMMYFUNCTION("""COMPUTED_VALUE"""),"6.40-6.55mm")</f>
        <v>6.40-6.55mm</v>
      </c>
      <c r="E74" s="41">
        <f>IFERROR(__xludf.DUMMYFUNCTION("""COMPUTED_VALUE"""),71.57894736842105)</f>
        <v>71.57894737</v>
      </c>
      <c r="F74" s="43">
        <f>IFERROR(__xludf.DUMMYFUNCTION("""COMPUTED_VALUE"""),100.0)</f>
        <v>100</v>
      </c>
      <c r="G74" s="7"/>
      <c r="H74" s="58" t="str">
        <f>IFERROR(__xludf.DUMMYFUNCTION("""COMPUTED_VALUE"""),"5.70*8.00")</f>
        <v>5.70*8.00</v>
      </c>
      <c r="I74" s="46" t="str">
        <f>IFERROR(__xludf.DUMMYFUNCTION("""COMPUTED_VALUE"""),"1.00 ct")</f>
        <v>1.00 ct</v>
      </c>
      <c r="J74" s="59">
        <f>IFERROR(__xludf.DUMMYFUNCTION("""COMPUTED_VALUE"""),71.57894736842105)</f>
        <v>71.57894737</v>
      </c>
      <c r="K74" s="7"/>
      <c r="L74" s="60" t="str">
        <f>IFERROR(__xludf.DUMMYFUNCTION("""COMPUTED_VALUE"""),"3.60*3.20")</f>
        <v>3.60*3.20</v>
      </c>
      <c r="M74" s="61" t="str">
        <f>IFERROR(__xludf.DUMMYFUNCTION("""COMPUTED_VALUE"""),"15 pt")</f>
        <v>15 pt</v>
      </c>
      <c r="N74" s="59">
        <f>IFERROR(__xludf.DUMMYFUNCTION("""COMPUTED_VALUE"""),100.0)</f>
        <v>100</v>
      </c>
      <c r="O74" s="7"/>
      <c r="P74" s="58" t="str">
        <f>IFERROR(__xludf.DUMMYFUNCTION("""COMPUTED_VALUE"""),"2.50*2.50")</f>
        <v>2.50*2.50</v>
      </c>
      <c r="Q74" s="46" t="str">
        <f>IFERROR(__xludf.DUMMYFUNCTION("""COMPUTED_VALUE"""),"7 pt")</f>
        <v>7 pt</v>
      </c>
      <c r="R74" s="147">
        <f>IFERROR(__xludf.DUMMYFUNCTION("""COMPUTED_VALUE"""),115.78947368421052)</f>
        <v>115.7894737</v>
      </c>
    </row>
    <row r="75">
      <c r="A75" s="45"/>
      <c r="B75" s="131"/>
      <c r="C75" s="47" t="str">
        <f>IFERROR(__xludf.DUMMYFUNCTION("""COMPUTED_VALUE"""),"1.11-1.21 ct")</f>
        <v>1.11-1.21 ct</v>
      </c>
      <c r="D75" s="47" t="str">
        <f>IFERROR(__xludf.DUMMYFUNCTION("""COMPUTED_VALUE"""),"6.55-6.75mm")</f>
        <v>6.55-6.75mm</v>
      </c>
      <c r="E75" s="49">
        <f>IFERROR(__xludf.DUMMYFUNCTION("""COMPUTED_VALUE"""),68.42105263157895)</f>
        <v>68.42105263</v>
      </c>
      <c r="F75" s="52">
        <f>IFERROR(__xludf.DUMMYFUNCTION("""COMPUTED_VALUE"""),100.0)</f>
        <v>100</v>
      </c>
      <c r="G75" s="7"/>
      <c r="H75" s="58" t="str">
        <f>IFERROR(__xludf.DUMMYFUNCTION("""COMPUTED_VALUE"""),"LV ")</f>
        <v>LV </v>
      </c>
      <c r="I75" s="46"/>
      <c r="J75" s="59"/>
      <c r="K75" s="7"/>
      <c r="L75" s="60" t="str">
        <f>IFERROR(__xludf.DUMMYFUNCTION("""COMPUTED_VALUE"""),"4.10*3.70")</f>
        <v>4.10*3.70</v>
      </c>
      <c r="M75" s="61" t="str">
        <f>IFERROR(__xludf.DUMMYFUNCTION("""COMPUTED_VALUE"""),"20 pt")</f>
        <v>20 pt</v>
      </c>
      <c r="N75" s="59">
        <f>IFERROR(__xludf.DUMMYFUNCTION("""COMPUTED_VALUE"""),88.42105263157895)</f>
        <v>88.42105263</v>
      </c>
      <c r="O75" s="7"/>
      <c r="P75" s="58" t="str">
        <f>IFERROR(__xludf.DUMMYFUNCTION("""COMPUTED_VALUE"""),"3.00*3.00")</f>
        <v>3.00*3.00</v>
      </c>
      <c r="Q75" s="46" t="str">
        <f>IFERROR(__xludf.DUMMYFUNCTION("""COMPUTED_VALUE"""),"10 pt")</f>
        <v>10 pt</v>
      </c>
      <c r="R75" s="147">
        <f>IFERROR(__xludf.DUMMYFUNCTION("""COMPUTED_VALUE"""),105.26315789473684)</f>
        <v>105.2631579</v>
      </c>
    </row>
    <row r="76">
      <c r="A76" s="45"/>
      <c r="B76" s="131"/>
      <c r="C76" s="47" t="str">
        <f>IFERROR(__xludf.DUMMYFUNCTION("""COMPUTED_VALUE"""),"1.22-1.28 ct")</f>
        <v>1.22-1.28 ct</v>
      </c>
      <c r="D76" s="47" t="str">
        <f>IFERROR(__xludf.DUMMYFUNCTION("""COMPUTED_VALUE"""),"6.75-7.00mm")</f>
        <v>6.75-7.00mm</v>
      </c>
      <c r="E76" s="49">
        <f>IFERROR(__xludf.DUMMYFUNCTION("""COMPUTED_VALUE"""),69.47368421052632)</f>
        <v>69.47368421</v>
      </c>
      <c r="F76" s="52">
        <f>IFERROR(__xludf.DUMMYFUNCTION("""COMPUTED_VALUE"""),100.0)</f>
        <v>100</v>
      </c>
      <c r="G76" s="7"/>
      <c r="H76" s="58" t="str">
        <f>IFERROR(__xludf.DUMMYFUNCTION("""COMPUTED_VALUE"""),"MM SIZE W/L")</f>
        <v>MM SIZE W/L</v>
      </c>
      <c r="I76" s="46" t="str">
        <f>IFERROR(__xludf.DUMMYFUNCTION("""COMPUTED_VALUE"""),"PTS")</f>
        <v>PTS</v>
      </c>
      <c r="J76" s="59" t="str">
        <f>IFERROR(__xludf.DUMMYFUNCTION("""COMPUTED_VALUE"""),"USD/Ct.")</f>
        <v>USD/Ct.</v>
      </c>
      <c r="K76" s="7"/>
      <c r="L76" s="60" t="str">
        <f>IFERROR(__xludf.DUMMYFUNCTION("""COMPUTED_VALUE"""),"4.00*4.00")</f>
        <v>4.00*4.00</v>
      </c>
      <c r="M76" s="61" t="str">
        <f>IFERROR(__xludf.DUMMYFUNCTION("""COMPUTED_VALUE"""),"20 pt")</f>
        <v>20 pt</v>
      </c>
      <c r="N76" s="59">
        <f>IFERROR(__xludf.DUMMYFUNCTION("""COMPUTED_VALUE"""),88.42105263157895)</f>
        <v>88.42105263</v>
      </c>
      <c r="O76" s="7"/>
      <c r="P76" s="60" t="str">
        <f>IFERROR(__xludf.DUMMYFUNCTION("""COMPUTED_VALUE"""),"3.50*3.50")</f>
        <v>3.50*3.50</v>
      </c>
      <c r="Q76" s="46" t="str">
        <f>IFERROR(__xludf.DUMMYFUNCTION("""COMPUTED_VALUE"""),"15 pt")</f>
        <v>15 pt</v>
      </c>
      <c r="R76" s="147">
        <f>IFERROR(__xludf.DUMMYFUNCTION("""COMPUTED_VALUE"""),102.10526315789474)</f>
        <v>102.1052632</v>
      </c>
    </row>
    <row r="77">
      <c r="A77" s="45"/>
      <c r="B77" s="131"/>
      <c r="C77" s="47" t="str">
        <f>IFERROR(__xludf.DUMMYFUNCTION("""COMPUTED_VALUE"""),"1.29-1.39 ct")</f>
        <v>1.29-1.39 ct</v>
      </c>
      <c r="D77" s="47" t="str">
        <f>IFERROR(__xludf.DUMMYFUNCTION("""COMPUTED_VALUE"""),"7.00-7.20mm")</f>
        <v>7.00-7.20mm</v>
      </c>
      <c r="E77" s="49">
        <f>IFERROR(__xludf.DUMMYFUNCTION("""COMPUTED_VALUE"""),61.05263157894737)</f>
        <v>61.05263158</v>
      </c>
      <c r="F77" s="52">
        <f>IFERROR(__xludf.DUMMYFUNCTION("""COMPUTED_VALUE"""),100.0)</f>
        <v>100</v>
      </c>
      <c r="G77" s="7"/>
      <c r="H77" s="58" t="str">
        <f>IFERROR(__xludf.DUMMYFUNCTION("""COMPUTED_VALUE"""),"4.50*.450")</f>
        <v>4.50*.450</v>
      </c>
      <c r="I77" s="46" t="str">
        <f>IFERROR(__xludf.DUMMYFUNCTION("""COMPUTED_VALUE"""),"20 PT")</f>
        <v>20 PT</v>
      </c>
      <c r="J77" s="59">
        <f>IFERROR(__xludf.DUMMYFUNCTION("""COMPUTED_VALUE"""),121.05263157894737)</f>
        <v>121.0526316</v>
      </c>
      <c r="K77" s="7"/>
      <c r="L77" s="60" t="str">
        <f>IFERROR(__xludf.DUMMYFUNCTION("""COMPUTED_VALUE"""),"4.00*4.40")</f>
        <v>4.00*4.40</v>
      </c>
      <c r="M77" s="61" t="str">
        <f>IFERROR(__xludf.DUMMYFUNCTION("""COMPUTED_VALUE"""),"25 pt")</f>
        <v>25 pt</v>
      </c>
      <c r="N77" s="59">
        <f>IFERROR(__xludf.DUMMYFUNCTION("""COMPUTED_VALUE"""),88.42105263157895)</f>
        <v>88.42105263</v>
      </c>
      <c r="O77" s="7"/>
      <c r="P77" s="60" t="str">
        <f>IFERROR(__xludf.DUMMYFUNCTION("""COMPUTED_VALUE"""),"4.00*4.00")</f>
        <v>4.00*4.00</v>
      </c>
      <c r="Q77" s="46" t="str">
        <f>IFERROR(__xludf.DUMMYFUNCTION("""COMPUTED_VALUE"""),"20 pt")</f>
        <v>20 pt</v>
      </c>
      <c r="R77" s="147">
        <f>IFERROR(__xludf.DUMMYFUNCTION("""COMPUTED_VALUE"""),88.42105263157895)</f>
        <v>88.42105263</v>
      </c>
    </row>
    <row r="78">
      <c r="A78" s="62"/>
      <c r="B78" s="136"/>
      <c r="C78" s="64" t="str">
        <f>IFERROR(__xludf.DUMMYFUNCTION("""COMPUTED_VALUE"""),"1.40-1.49 ct")</f>
        <v>1.40-1.49 ct</v>
      </c>
      <c r="D78" s="64" t="str">
        <f>IFERROR(__xludf.DUMMYFUNCTION("""COMPUTED_VALUE"""),"7.20-7.40mm")</f>
        <v>7.20-7.40mm</v>
      </c>
      <c r="E78" s="66">
        <f>IFERROR(__xludf.DUMMYFUNCTION("""COMPUTED_VALUE"""),61.05263157894737)</f>
        <v>61.05263158</v>
      </c>
      <c r="F78" s="69">
        <f>IFERROR(__xludf.DUMMYFUNCTION("""COMPUTED_VALUE"""),100.0)</f>
        <v>100</v>
      </c>
      <c r="G78" s="7"/>
      <c r="H78" s="58" t="str">
        <f>IFERROR(__xludf.DUMMYFUNCTION("""COMPUTED_VALUE"""),"5.50*5.50")</f>
        <v>5.50*5.50</v>
      </c>
      <c r="I78" s="46" t="str">
        <f>IFERROR(__xludf.DUMMYFUNCTION("""COMPUTED_VALUE"""),"30 PT")</f>
        <v>30 PT</v>
      </c>
      <c r="J78" s="59">
        <f>IFERROR(__xludf.DUMMYFUNCTION("""COMPUTED_VALUE"""),121.05263157894737)</f>
        <v>121.0526316</v>
      </c>
      <c r="K78" s="7"/>
      <c r="L78" s="60" t="str">
        <f>IFERROR(__xludf.DUMMYFUNCTION("""COMPUTED_VALUE"""),"4.60*4.20")</f>
        <v>4.60*4.20</v>
      </c>
      <c r="M78" s="61" t="str">
        <f>IFERROR(__xludf.DUMMYFUNCTION("""COMPUTED_VALUE"""),"30 pt")</f>
        <v>30 pt</v>
      </c>
      <c r="N78" s="59">
        <f>IFERROR(__xludf.DUMMYFUNCTION("""COMPUTED_VALUE"""),88.42105263157895)</f>
        <v>88.42105263</v>
      </c>
      <c r="O78" s="7"/>
      <c r="P78" s="58" t="str">
        <f>IFERROR(__xludf.DUMMYFUNCTION("""COMPUTED_VALUE"""),"4.50*4.50")</f>
        <v>4.50*4.50</v>
      </c>
      <c r="Q78" s="46" t="str">
        <f>IFERROR(__xludf.DUMMYFUNCTION("""COMPUTED_VALUE"""),"25 pt")</f>
        <v>25 pt</v>
      </c>
      <c r="R78" s="147">
        <f>IFERROR(__xludf.DUMMYFUNCTION("""COMPUTED_VALUE"""),88.42105263157895)</f>
        <v>88.42105263</v>
      </c>
    </row>
    <row r="79">
      <c r="A79" s="150" t="str">
        <f>IFERROR(__xludf.DUMMYFUNCTION("""COMPUTED_VALUE"""),"1.50 CTUP")</f>
        <v>1.50 CTUP</v>
      </c>
      <c r="B79" s="127"/>
      <c r="C79" s="39" t="str">
        <f>IFERROR(__xludf.DUMMYFUNCTION("""COMPUTED_VALUE"""),"1.50-1.60 ct")</f>
        <v>1.50-1.60 ct</v>
      </c>
      <c r="D79" s="39" t="str">
        <f>IFERROR(__xludf.DUMMYFUNCTION("""COMPUTED_VALUE"""),"7.40-7.50mm")</f>
        <v>7.40-7.50mm</v>
      </c>
      <c r="E79" s="41">
        <f>IFERROR(__xludf.DUMMYFUNCTION("""COMPUTED_VALUE"""),78.94736842105263)</f>
        <v>78.94736842</v>
      </c>
      <c r="F79" s="43">
        <f>IFERROR(__xludf.DUMMYFUNCTION("""COMPUTED_VALUE"""),100.0)</f>
        <v>100</v>
      </c>
      <c r="G79" s="7"/>
      <c r="H79" s="58" t="str">
        <f>IFERROR(__xludf.DUMMYFUNCTION("""COMPUTED_VALUE"""),"6.00*6.00")</f>
        <v>6.00*6.00</v>
      </c>
      <c r="I79" s="46" t="str">
        <f>IFERROR(__xludf.DUMMYFUNCTION("""COMPUTED_VALUE"""),"40 PT")</f>
        <v>40 PT</v>
      </c>
      <c r="J79" s="59">
        <f>IFERROR(__xludf.DUMMYFUNCTION("""COMPUTED_VALUE"""),121.05263157894737)</f>
        <v>121.0526316</v>
      </c>
      <c r="K79" s="7"/>
      <c r="L79" s="60" t="str">
        <f>IFERROR(__xludf.DUMMYFUNCTION("""COMPUTED_VALUE"""),"5.00*5.00")</f>
        <v>5.00*5.00</v>
      </c>
      <c r="M79" s="61" t="str">
        <f>IFERROR(__xludf.DUMMYFUNCTION("""COMPUTED_VALUE"""),"40 pt")</f>
        <v>40 pt</v>
      </c>
      <c r="N79" s="59">
        <f>IFERROR(__xludf.DUMMYFUNCTION("""COMPUTED_VALUE"""),82.10526315789474)</f>
        <v>82.10526316</v>
      </c>
      <c r="O79" s="7"/>
      <c r="P79" s="58" t="str">
        <f>IFERROR(__xludf.DUMMYFUNCTION("""COMPUTED_VALUE"""),"5.00*5.00")</f>
        <v>5.00*5.00</v>
      </c>
      <c r="Q79" s="46" t="str">
        <f>IFERROR(__xludf.DUMMYFUNCTION("""COMPUTED_VALUE"""),"35 pt")</f>
        <v>35 pt</v>
      </c>
      <c r="R79" s="147">
        <f>IFERROR(__xludf.DUMMYFUNCTION("""COMPUTED_VALUE"""),88.42105263157895)</f>
        <v>88.42105263</v>
      </c>
    </row>
    <row r="80">
      <c r="A80" s="45"/>
      <c r="B80" s="131"/>
      <c r="C80" s="47" t="str">
        <f>IFERROR(__xludf.DUMMYFUNCTION("""COMPUTED_VALUE"""),"1.61-1.99 ct")</f>
        <v>1.61-1.99 ct</v>
      </c>
      <c r="D80" s="47" t="str">
        <f>IFERROR(__xludf.DUMMYFUNCTION("""COMPUTED_VALUE"""),"7.50-8.00mm")</f>
        <v>7.50-8.00mm</v>
      </c>
      <c r="E80" s="49">
        <f>IFERROR(__xludf.DUMMYFUNCTION("""COMPUTED_VALUE"""),77.89473684210526)</f>
        <v>77.89473684</v>
      </c>
      <c r="F80" s="52">
        <f>IFERROR(__xludf.DUMMYFUNCTION("""COMPUTED_VALUE"""),100.0)</f>
        <v>100</v>
      </c>
      <c r="G80" s="7"/>
      <c r="H80" s="58" t="str">
        <f>IFERROR(__xludf.DUMMYFUNCTION("""COMPUTED_VALUE"""),"6.30*6.30")</f>
        <v>6.30*6.30</v>
      </c>
      <c r="I80" s="46" t="str">
        <f>IFERROR(__xludf.DUMMYFUNCTION("""COMPUTED_VALUE"""),"50 PT")</f>
        <v>50 PT</v>
      </c>
      <c r="J80" s="59">
        <f>IFERROR(__xludf.DUMMYFUNCTION("""COMPUTED_VALUE"""),121.05263157894737)</f>
        <v>121.0526316</v>
      </c>
      <c r="K80" s="7"/>
      <c r="L80" s="60" t="str">
        <f>IFERROR(__xludf.DUMMYFUNCTION("""COMPUTED_VALUE"""),"5.55*5.00")</f>
        <v>5.55*5.00</v>
      </c>
      <c r="M80" s="61" t="str">
        <f>IFERROR(__xludf.DUMMYFUNCTION("""COMPUTED_VALUE"""),"50 pt")</f>
        <v>50 pt</v>
      </c>
      <c r="N80" s="59">
        <f>IFERROR(__xludf.DUMMYFUNCTION("""COMPUTED_VALUE"""),84.21052631578948)</f>
        <v>84.21052632</v>
      </c>
      <c r="O80" s="7"/>
      <c r="P80" s="58" t="str">
        <f>IFERROR(__xludf.DUMMYFUNCTION("""COMPUTED_VALUE"""),"5.50*5.50")</f>
        <v>5.50*5.50</v>
      </c>
      <c r="Q80" s="46" t="str">
        <f>IFERROR(__xludf.DUMMYFUNCTION("""COMPUTED_VALUE"""),"50 pt")</f>
        <v>50 pt</v>
      </c>
      <c r="R80" s="147">
        <f>IFERROR(__xludf.DUMMYFUNCTION("""COMPUTED_VALUE"""),88.42105263157895)</f>
        <v>88.42105263</v>
      </c>
    </row>
    <row r="81">
      <c r="A81" s="62"/>
      <c r="B81" s="136"/>
      <c r="C81" s="64" t="str">
        <f>IFERROR(__xludf.DUMMYFUNCTION("""COMPUTED_VALUE"""),"1.50-1.60 ct")</f>
        <v>1.50-1.60 ct</v>
      </c>
      <c r="D81" s="64" t="str">
        <f>IFERROR(__xludf.DUMMYFUNCTION("""COMPUTED_VALUE"""),"7.40-7.50mm")</f>
        <v>7.40-7.50mm</v>
      </c>
      <c r="E81" s="66">
        <f>IFERROR(__xludf.DUMMYFUNCTION("""COMPUTED_VALUE"""),84.21052631578948)</f>
        <v>84.21052632</v>
      </c>
      <c r="F81" s="69">
        <f>IFERROR(__xludf.DUMMYFUNCTION("""COMPUTED_VALUE"""),105.26315789473684)</f>
        <v>105.2631579</v>
      </c>
      <c r="G81" s="7"/>
      <c r="H81" s="58" t="str">
        <f>IFERROR(__xludf.DUMMYFUNCTION("""COMPUTED_VALUE"""),"7.00*7.00")</f>
        <v>7.00*7.00</v>
      </c>
      <c r="I81" s="46" t="str">
        <f>IFERROR(__xludf.DUMMYFUNCTION("""COMPUTED_VALUE"""),"70 PT")</f>
        <v>70 PT</v>
      </c>
      <c r="J81" s="59">
        <f>IFERROR(__xludf.DUMMYFUNCTION("""COMPUTED_VALUE"""),121.05263157894737)</f>
        <v>121.0526316</v>
      </c>
      <c r="K81" s="7"/>
      <c r="L81" s="60" t="str">
        <f>IFERROR(__xludf.DUMMYFUNCTION("""COMPUTED_VALUE"""),"6.10*5.60")</f>
        <v>6.10*5.60</v>
      </c>
      <c r="M81" s="61" t="str">
        <f>IFERROR(__xludf.DUMMYFUNCTION("""COMPUTED_VALUE"""),"70 pt")</f>
        <v>70 pt</v>
      </c>
      <c r="N81" s="59">
        <f>IFERROR(__xludf.DUMMYFUNCTION("""COMPUTED_VALUE"""),82.10526315789474)</f>
        <v>82.10526316</v>
      </c>
      <c r="O81" s="7"/>
      <c r="P81" s="58" t="str">
        <f>IFERROR(__xludf.DUMMYFUNCTION("""COMPUTED_VALUE"""),"6.00*6.00")</f>
        <v>6.00*6.00</v>
      </c>
      <c r="Q81" s="46" t="str">
        <f>IFERROR(__xludf.DUMMYFUNCTION("""COMPUTED_VALUE"""),"70 pt")</f>
        <v>70 pt</v>
      </c>
      <c r="R81" s="147">
        <f>IFERROR(__xludf.DUMMYFUNCTION("""COMPUTED_VALUE"""),93.6842105263158)</f>
        <v>93.68421053</v>
      </c>
    </row>
    <row r="82">
      <c r="A82" s="150" t="str">
        <f>IFERROR(__xludf.DUMMYFUNCTION("""COMPUTED_VALUE"""),"2.00 CT UP")</f>
        <v>2.00 CT UP</v>
      </c>
      <c r="B82" s="127"/>
      <c r="C82" s="39" t="str">
        <f>IFERROR(__xludf.DUMMYFUNCTION("""COMPUTED_VALUE"""),"2.00-2.49 ct")</f>
        <v>2.00-2.49 ct</v>
      </c>
      <c r="D82" s="39" t="str">
        <f>IFERROR(__xludf.DUMMYFUNCTION("""COMPUTED_VALUE"""),"8.00-8.70mm")</f>
        <v>8.00-8.70mm</v>
      </c>
      <c r="E82" s="41">
        <f>IFERROR(__xludf.DUMMYFUNCTION("""COMPUTED_VALUE"""),96.84210526315789)</f>
        <v>96.84210526</v>
      </c>
      <c r="F82" s="43">
        <f>IFERROR(__xludf.DUMMYFUNCTION("""COMPUTED_VALUE"""),105.26315789473684)</f>
        <v>105.2631579</v>
      </c>
      <c r="G82" s="7"/>
      <c r="H82" s="58" t="str">
        <f>IFERROR(__xludf.DUMMYFUNCTION("""COMPUTED_VALUE"""),"7.25*7.25")</f>
        <v>7.25*7.25</v>
      </c>
      <c r="I82" s="46" t="str">
        <f>IFERROR(__xludf.DUMMYFUNCTION("""COMPUTED_VALUE"""),"80 PT")</f>
        <v>80 PT</v>
      </c>
      <c r="J82" s="59">
        <f>IFERROR(__xludf.DUMMYFUNCTION("""COMPUTED_VALUE"""),121.05263157894737)</f>
        <v>121.0526316</v>
      </c>
      <c r="K82" s="7"/>
      <c r="L82" s="60" t="str">
        <f>IFERROR(__xludf.DUMMYFUNCTION("""COMPUTED_VALUE"""),"6.50*6.50")</f>
        <v>6.50*6.50</v>
      </c>
      <c r="M82" s="61" t="str">
        <f>IFERROR(__xludf.DUMMYFUNCTION("""COMPUTED_VALUE"""),"90 PT")</f>
        <v>90 PT</v>
      </c>
      <c r="N82" s="59">
        <f>IFERROR(__xludf.DUMMYFUNCTION("""COMPUTED_VALUE"""),88.42105263157895)</f>
        <v>88.42105263</v>
      </c>
      <c r="O82" s="7"/>
      <c r="P82" s="58" t="str">
        <f>IFERROR(__xludf.DUMMYFUNCTION("""COMPUTED_VALUE"""),"6.50*6.50")</f>
        <v>6.50*6.50</v>
      </c>
      <c r="Q82" s="46" t="str">
        <f>IFERROR(__xludf.DUMMYFUNCTION("""COMPUTED_VALUE"""),"90 pt")</f>
        <v>90 pt</v>
      </c>
      <c r="R82" s="147">
        <f>IFERROR(__xludf.DUMMYFUNCTION("""COMPUTED_VALUE"""),93.6842105263158)</f>
        <v>93.68421053</v>
      </c>
    </row>
    <row r="83">
      <c r="A83" s="62"/>
      <c r="B83" s="136"/>
      <c r="C83" s="64" t="str">
        <f>IFERROR(__xludf.DUMMYFUNCTION("""COMPUTED_VALUE"""),"2.50-2.99 ct")</f>
        <v>2.50-2.99 ct</v>
      </c>
      <c r="D83" s="64" t="str">
        <f>IFERROR(__xludf.DUMMYFUNCTION("""COMPUTED_VALUE"""),"8.70-9.20mm")</f>
        <v>8.70-9.20mm</v>
      </c>
      <c r="E83" s="66">
        <f>IFERROR(__xludf.DUMMYFUNCTION("""COMPUTED_VALUE"""),100.0)</f>
        <v>100</v>
      </c>
      <c r="F83" s="69">
        <f>IFERROR(__xludf.DUMMYFUNCTION("""COMPUTED_VALUE"""),105.26315789473684)</f>
        <v>105.2631579</v>
      </c>
      <c r="G83" s="7"/>
      <c r="H83" s="102" t="str">
        <f>IFERROR(__xludf.DUMMYFUNCTION("""COMPUTED_VALUE"""),"8.00*8.00")</f>
        <v>8.00*8.00</v>
      </c>
      <c r="I83" s="63" t="str">
        <f>IFERROR(__xludf.DUMMYFUNCTION("""COMPUTED_VALUE"""),"1.00 CT")</f>
        <v>1.00 CT</v>
      </c>
      <c r="J83" s="101">
        <f>IFERROR(__xludf.DUMMYFUNCTION("""COMPUTED_VALUE"""),128.42105263157896)</f>
        <v>128.4210526</v>
      </c>
      <c r="K83" s="7"/>
      <c r="L83" s="96" t="str">
        <f>IFERROR(__xludf.DUMMYFUNCTION("""COMPUTED_VALUE"""),"6.90*6.40")</f>
        <v>6.90*6.40</v>
      </c>
      <c r="M83" s="99" t="str">
        <f>IFERROR(__xludf.DUMMYFUNCTION("""COMPUTED_VALUE"""),"1.00 ct")</f>
        <v>1.00 ct</v>
      </c>
      <c r="N83" s="101">
        <f>IFERROR(__xludf.DUMMYFUNCTION("""COMPUTED_VALUE"""),100.0)</f>
        <v>100</v>
      </c>
      <c r="O83" s="7"/>
      <c r="P83" s="102" t="str">
        <f>IFERROR(__xludf.DUMMYFUNCTION("""COMPUTED_VALUE"""),"7.00*7.00")</f>
        <v>7.00*7.00</v>
      </c>
      <c r="Q83" s="63" t="str">
        <f>IFERROR(__xludf.DUMMYFUNCTION("""COMPUTED_VALUE"""),"1.50 ct")</f>
        <v>1.50 ct</v>
      </c>
      <c r="R83" s="154">
        <f>IFERROR(__xludf.DUMMYFUNCTION("""COMPUTED_VALUE"""),105.26315789473684)</f>
        <v>105.2631579</v>
      </c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>
      <c r="A85" s="155" t="str">
        <f>IFERROR(__xludf.DUMMYFUNCTION("""COMPUTED_VALUE"""),"Make To Order As Per Your Size And Shapes Also Can Do With In 20 Days.")</f>
        <v>Make To Order As Per Your Size And Shapes Also Can Do With In 20 Days.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7"/>
    </row>
    <row r="86">
      <c r="A86" s="104" t="str">
        <f>IFERROR(__xludf.DUMMYFUNCTION("""COMPUTED_VALUE"""),"www.partystar.net")</f>
        <v>www.partystar.net</v>
      </c>
    </row>
    <row r="87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</row>
    <row r="88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</row>
    <row r="89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</row>
    <row r="90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</row>
    <row r="9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</row>
    <row r="92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</row>
    <row r="93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</row>
    <row r="94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</row>
    <row r="95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  <row r="96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</row>
    <row r="97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</row>
    <row r="98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</row>
    <row r="99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</row>
    <row r="100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</row>
    <row r="10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</row>
    <row r="102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</row>
    <row r="103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</row>
    <row r="104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</row>
    <row r="10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</row>
    <row r="106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</row>
    <row r="107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</row>
    <row r="108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</row>
    <row r="109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</row>
    <row r="110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</row>
    <row r="11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</row>
    <row r="112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</row>
    <row r="113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</row>
    <row r="114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</row>
    <row r="115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</row>
    <row r="116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</row>
    <row r="117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</row>
    <row r="118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</row>
    <row r="119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</row>
    <row r="120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</row>
    <row r="12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</row>
    <row r="122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</row>
    <row r="123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</row>
    <row r="124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</row>
    <row r="125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</row>
    <row r="126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</row>
    <row r="127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</row>
    <row r="128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</row>
    <row r="129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</row>
    <row r="130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</row>
    <row r="13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</row>
    <row r="132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</row>
    <row r="133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</row>
    <row r="134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</row>
    <row r="135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</row>
    <row r="136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</row>
    <row r="137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</row>
    <row r="138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</row>
    <row r="139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</row>
    <row r="140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</row>
    <row r="14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</row>
    <row r="142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</row>
    <row r="143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</row>
    <row r="144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</row>
    <row r="145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</row>
    <row r="146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</row>
    <row r="147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</row>
    <row r="148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</row>
    <row r="149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</row>
    <row r="150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</row>
    <row r="15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</row>
    <row r="152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</row>
    <row r="153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</row>
    <row r="154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</row>
    <row r="155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</row>
    <row r="156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</row>
    <row r="157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</row>
    <row r="158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</row>
    <row r="159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</row>
    <row r="160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</row>
    <row r="16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</row>
    <row r="162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</row>
    <row r="163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</row>
    <row r="164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</row>
    <row r="165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</row>
    <row r="166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</row>
    <row r="167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</row>
    <row r="168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</row>
    <row r="169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</row>
    <row r="170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</row>
    <row r="17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</row>
    <row r="172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</row>
    <row r="173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</row>
    <row r="174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</row>
    <row r="175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</row>
    <row r="176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</row>
    <row r="177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</row>
    <row r="178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</row>
    <row r="179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</row>
    <row r="180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</row>
    <row r="18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</row>
    <row r="182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</row>
    <row r="183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</row>
    <row r="184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</row>
    <row r="185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</row>
    <row r="186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</row>
    <row r="187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</row>
    <row r="188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</row>
    <row r="189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</row>
    <row r="190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</row>
    <row r="19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</row>
    <row r="192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</row>
    <row r="193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</row>
    <row r="194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</row>
    <row r="195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</row>
    <row r="196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</row>
    <row r="197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</row>
    <row r="198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</row>
    <row r="199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</row>
    <row r="200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</row>
    <row r="20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</row>
    <row r="202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</row>
    <row r="203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</row>
    <row r="204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</row>
    <row r="205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</row>
    <row r="206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</row>
    <row r="207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</row>
    <row r="208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</row>
    <row r="209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</row>
    <row r="210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</row>
    <row r="21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</row>
    <row r="212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</row>
    <row r="213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</row>
    <row r="214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</row>
    <row r="215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</row>
    <row r="216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</row>
    <row r="217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</row>
    <row r="218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</row>
    <row r="219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</row>
    <row r="220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</row>
    <row r="22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</row>
    <row r="222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</row>
    <row r="223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</row>
    <row r="224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</row>
    <row r="225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</row>
    <row r="226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</row>
    <row r="227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</row>
    <row r="228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</row>
    <row r="229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</row>
    <row r="230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</row>
    <row r="23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</row>
    <row r="232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</row>
    <row r="233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</row>
    <row r="234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</row>
    <row r="235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</row>
    <row r="236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</row>
    <row r="237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</row>
    <row r="238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</row>
    <row r="239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</row>
    <row r="240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</row>
    <row r="241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</row>
    <row r="242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</row>
    <row r="243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</row>
    <row r="244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</row>
    <row r="245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</row>
    <row r="246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</row>
    <row r="247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</row>
    <row r="248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</row>
    <row r="249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</row>
    <row r="250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</row>
    <row r="251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</row>
    <row r="252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</row>
    <row r="253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</row>
    <row r="254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</row>
    <row r="255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</row>
    <row r="256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</row>
    <row r="257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</row>
    <row r="258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</row>
    <row r="259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</row>
    <row r="260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</row>
    <row r="261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</row>
    <row r="262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</row>
    <row r="263">
      <c r="A263" s="158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</row>
    <row r="264">
      <c r="A264" s="158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</row>
    <row r="265">
      <c r="A265" s="158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</row>
    <row r="266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</row>
    <row r="267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</row>
    <row r="268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</row>
    <row r="269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</row>
    <row r="270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</row>
    <row r="271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</row>
    <row r="272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</row>
    <row r="273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</row>
    <row r="274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</row>
    <row r="275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</row>
    <row r="276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</row>
    <row r="277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</row>
    <row r="278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</row>
    <row r="279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</row>
    <row r="280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</row>
    <row r="281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</row>
    <row r="282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</row>
    <row r="283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</row>
    <row r="284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</row>
    <row r="285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</row>
    <row r="286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</row>
    <row r="287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</row>
    <row r="288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</row>
    <row r="289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</row>
    <row r="290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</row>
    <row r="291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</row>
    <row r="292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</row>
    <row r="293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</row>
    <row r="294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</row>
    <row r="295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</row>
    <row r="296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</row>
    <row r="297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</row>
    <row r="298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</row>
    <row r="299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</row>
    <row r="300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</row>
    <row r="301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</row>
    <row r="302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</row>
    <row r="303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</row>
    <row r="304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</row>
    <row r="305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</row>
    <row r="306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</row>
    <row r="307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</row>
    <row r="308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</row>
    <row r="309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</row>
    <row r="310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</row>
    <row r="311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</row>
    <row r="312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</row>
    <row r="313">
      <c r="A313" s="158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</row>
    <row r="314">
      <c r="A314" s="158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</row>
    <row r="315">
      <c r="A315" s="158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</row>
    <row r="316">
      <c r="A316" s="158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</row>
    <row r="317">
      <c r="A317" s="158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</row>
    <row r="318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</row>
    <row r="319">
      <c r="A319" s="158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</row>
    <row r="320">
      <c r="A320" s="158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</row>
    <row r="321">
      <c r="A321" s="158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</row>
    <row r="322">
      <c r="A322" s="158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</row>
    <row r="323">
      <c r="A323" s="158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</row>
    <row r="324">
      <c r="A324" s="158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</row>
    <row r="325">
      <c r="A325" s="158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</row>
    <row r="326">
      <c r="A326" s="158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</row>
    <row r="327">
      <c r="A327" s="158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</row>
    <row r="328">
      <c r="A328" s="158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</row>
    <row r="329">
      <c r="A329" s="158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</row>
    <row r="330">
      <c r="A330" s="158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</row>
    <row r="331">
      <c r="A331" s="158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</row>
    <row r="332">
      <c r="A332" s="158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</row>
    <row r="333">
      <c r="A333" s="158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</row>
    <row r="334">
      <c r="A334" s="158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</row>
    <row r="335">
      <c r="A335" s="158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</row>
    <row r="336">
      <c r="A336" s="158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</row>
    <row r="337">
      <c r="A337" s="158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</row>
    <row r="338">
      <c r="A338" s="158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</row>
    <row r="339">
      <c r="A339" s="158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</row>
    <row r="340">
      <c r="A340" s="158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</row>
    <row r="341">
      <c r="A341" s="158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</row>
    <row r="342">
      <c r="A342" s="158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</row>
    <row r="343">
      <c r="A343" s="158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</row>
    <row r="344">
      <c r="A344" s="158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</row>
    <row r="345">
      <c r="A345" s="158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</row>
    <row r="346">
      <c r="A346" s="158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</row>
    <row r="347">
      <c r="A347" s="158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</row>
    <row r="348">
      <c r="A348" s="158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</row>
    <row r="349">
      <c r="A349" s="158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</row>
    <row r="350">
      <c r="A350" s="158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</row>
    <row r="351">
      <c r="A351" s="158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</row>
    <row r="352">
      <c r="A352" s="158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</row>
    <row r="353">
      <c r="A353" s="158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</row>
    <row r="354">
      <c r="A354" s="158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</row>
    <row r="355">
      <c r="A355" s="158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</row>
    <row r="356">
      <c r="A356" s="158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</row>
    <row r="357">
      <c r="A357" s="158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</row>
    <row r="358">
      <c r="A358" s="158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</row>
    <row r="359">
      <c r="A359" s="158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</row>
    <row r="360">
      <c r="A360" s="158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</row>
    <row r="361">
      <c r="A361" s="158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</row>
    <row r="362">
      <c r="A362" s="158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</row>
    <row r="363">
      <c r="A363" s="158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</row>
    <row r="364">
      <c r="A364" s="158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</row>
    <row r="365">
      <c r="A365" s="158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</row>
    <row r="366">
      <c r="A366" s="158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</row>
    <row r="367">
      <c r="A367" s="158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</row>
    <row r="368">
      <c r="A368" s="158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</row>
    <row r="369">
      <c r="A369" s="158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</row>
    <row r="370">
      <c r="A370" s="158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</row>
    <row r="371">
      <c r="A371" s="158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</row>
    <row r="372">
      <c r="A372" s="158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</row>
    <row r="373">
      <c r="A373" s="158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</row>
    <row r="374">
      <c r="A374" s="158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</row>
    <row r="375">
      <c r="A375" s="158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</row>
    <row r="376">
      <c r="A376" s="158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</row>
    <row r="377">
      <c r="A377" s="158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</row>
    <row r="378">
      <c r="A378" s="158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</row>
    <row r="379">
      <c r="A379" s="158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</row>
    <row r="380">
      <c r="A380" s="158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</row>
    <row r="381">
      <c r="A381" s="158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</row>
    <row r="382">
      <c r="A382" s="158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</row>
    <row r="383">
      <c r="A383" s="158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</row>
    <row r="384">
      <c r="A384" s="158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</row>
    <row r="385">
      <c r="A385" s="158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</row>
    <row r="386">
      <c r="A386" s="158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</row>
    <row r="387">
      <c r="A387" s="158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</row>
    <row r="388">
      <c r="A388" s="158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</row>
    <row r="389">
      <c r="A389" s="158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</row>
    <row r="390">
      <c r="A390" s="158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</row>
    <row r="391">
      <c r="A391" s="158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</row>
    <row r="392">
      <c r="A392" s="158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</row>
    <row r="393">
      <c r="A393" s="158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</row>
    <row r="394">
      <c r="A394" s="158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</row>
    <row r="395">
      <c r="A395" s="158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</row>
    <row r="396">
      <c r="A396" s="158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</row>
    <row r="397">
      <c r="A397" s="158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</row>
    <row r="398">
      <c r="A398" s="158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</row>
    <row r="399">
      <c r="A399" s="158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</row>
    <row r="400">
      <c r="A400" s="158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</row>
    <row r="401">
      <c r="A401" s="158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</row>
    <row r="402">
      <c r="A402" s="158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</row>
    <row r="403">
      <c r="A403" s="158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</row>
    <row r="404">
      <c r="A404" s="158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</row>
    <row r="405">
      <c r="A405" s="158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</row>
    <row r="406">
      <c r="A406" s="158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</row>
    <row r="407">
      <c r="A407" s="158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</row>
    <row r="408">
      <c r="A408" s="158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</row>
    <row r="409">
      <c r="A409" s="158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</row>
    <row r="410">
      <c r="A410" s="158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</row>
    <row r="411">
      <c r="A411" s="158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</row>
    <row r="412">
      <c r="A412" s="158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</row>
    <row r="413">
      <c r="A413" s="158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</row>
    <row r="414">
      <c r="A414" s="158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</row>
    <row r="415">
      <c r="A415" s="158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</row>
    <row r="416">
      <c r="A416" s="158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</row>
    <row r="417">
      <c r="A417" s="158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</row>
    <row r="418">
      <c r="A418" s="158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</row>
    <row r="419">
      <c r="A419" s="158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</row>
    <row r="420">
      <c r="A420" s="158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</row>
    <row r="421">
      <c r="A421" s="158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</row>
    <row r="422">
      <c r="A422" s="158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</row>
    <row r="423">
      <c r="A423" s="158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</row>
    <row r="424">
      <c r="A424" s="158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</row>
    <row r="425">
      <c r="A425" s="158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</row>
    <row r="426">
      <c r="A426" s="158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</row>
    <row r="427">
      <c r="A427" s="158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</row>
    <row r="428">
      <c r="A428" s="158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</row>
    <row r="429">
      <c r="A429" s="158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</row>
    <row r="430">
      <c r="A430" s="158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</row>
    <row r="431">
      <c r="A431" s="158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</row>
    <row r="432">
      <c r="A432" s="158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</row>
    <row r="433">
      <c r="A433" s="158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</row>
    <row r="434">
      <c r="A434" s="158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</row>
    <row r="435">
      <c r="A435" s="158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</row>
    <row r="436">
      <c r="A436" s="158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</row>
    <row r="437">
      <c r="A437" s="158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</row>
    <row r="438">
      <c r="A438" s="158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</row>
    <row r="439">
      <c r="A439" s="158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</row>
    <row r="440">
      <c r="A440" s="158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</row>
    <row r="441">
      <c r="A441" s="158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</row>
    <row r="442">
      <c r="A442" s="158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</row>
    <row r="443">
      <c r="A443" s="158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</row>
    <row r="444">
      <c r="A444" s="158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</row>
    <row r="445">
      <c r="A445" s="158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</row>
    <row r="446">
      <c r="A446" s="158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</row>
    <row r="447">
      <c r="A447" s="158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</row>
    <row r="448">
      <c r="A448" s="158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</row>
    <row r="449">
      <c r="A449" s="158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</row>
    <row r="450">
      <c r="A450" s="158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</row>
    <row r="451">
      <c r="A451" s="158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</row>
    <row r="452">
      <c r="A452" s="158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</row>
    <row r="453">
      <c r="A453" s="158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</row>
    <row r="454">
      <c r="A454" s="158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</row>
    <row r="455">
      <c r="A455" s="158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</row>
    <row r="456">
      <c r="A456" s="158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</row>
    <row r="457">
      <c r="A457" s="158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</row>
    <row r="458">
      <c r="A458" s="158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</row>
    <row r="459">
      <c r="A459" s="158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</row>
    <row r="460">
      <c r="A460" s="158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</row>
    <row r="461">
      <c r="A461" s="158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</row>
    <row r="462">
      <c r="A462" s="158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</row>
    <row r="463">
      <c r="A463" s="158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</row>
    <row r="464">
      <c r="A464" s="158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</row>
    <row r="465">
      <c r="A465" s="158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</row>
    <row r="466">
      <c r="A466" s="158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</row>
    <row r="467">
      <c r="A467" s="158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</row>
    <row r="468">
      <c r="A468" s="158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</row>
    <row r="469">
      <c r="A469" s="158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</row>
    <row r="470">
      <c r="A470" s="158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</row>
    <row r="471">
      <c r="A471" s="158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</row>
    <row r="472">
      <c r="A472" s="158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</row>
    <row r="473">
      <c r="A473" s="158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</row>
    <row r="474">
      <c r="A474" s="158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</row>
    <row r="475">
      <c r="A475" s="158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</row>
    <row r="476">
      <c r="A476" s="158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</row>
    <row r="477">
      <c r="A477" s="158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</row>
    <row r="478">
      <c r="A478" s="158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</row>
    <row r="479">
      <c r="A479" s="158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</row>
    <row r="480">
      <c r="A480" s="158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</row>
    <row r="481">
      <c r="A481" s="158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</row>
    <row r="482">
      <c r="A482" s="158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</row>
    <row r="483">
      <c r="A483" s="158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</row>
    <row r="484">
      <c r="A484" s="158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</row>
    <row r="485">
      <c r="A485" s="158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</row>
    <row r="486">
      <c r="A486" s="158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</row>
    <row r="487">
      <c r="A487" s="158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</row>
    <row r="488">
      <c r="A488" s="158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</row>
    <row r="489">
      <c r="A489" s="158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</row>
    <row r="490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</row>
    <row r="491">
      <c r="A491" s="158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</row>
    <row r="492">
      <c r="A492" s="158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</row>
    <row r="493">
      <c r="A493" s="158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</row>
    <row r="494">
      <c r="A494" s="158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</row>
    <row r="495">
      <c r="A495" s="158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</row>
    <row r="496">
      <c r="A496" s="158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</row>
    <row r="497">
      <c r="A497" s="158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</row>
    <row r="498">
      <c r="A498" s="158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</row>
    <row r="499">
      <c r="A499" s="158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</row>
    <row r="500">
      <c r="A500" s="158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</row>
    <row r="501">
      <c r="A501" s="158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</row>
    <row r="502">
      <c r="A502" s="158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</row>
    <row r="503">
      <c r="A503" s="158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</row>
    <row r="504">
      <c r="A504" s="158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</row>
    <row r="505">
      <c r="A505" s="158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</row>
    <row r="506">
      <c r="A506" s="158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</row>
    <row r="507">
      <c r="A507" s="158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</row>
    <row r="508">
      <c r="A508" s="158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</row>
    <row r="509">
      <c r="A509" s="158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</row>
    <row r="510">
      <c r="A510" s="158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</row>
    <row r="511">
      <c r="A511" s="158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</row>
    <row r="512">
      <c r="A512" s="158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</row>
    <row r="513">
      <c r="A513" s="158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</row>
    <row r="514">
      <c r="A514" s="158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</row>
    <row r="515">
      <c r="A515" s="158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</row>
    <row r="516">
      <c r="A516" s="158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</row>
    <row r="517">
      <c r="A517" s="158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</row>
    <row r="518">
      <c r="A518" s="158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</row>
    <row r="519">
      <c r="A519" s="158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</row>
    <row r="520">
      <c r="A520" s="158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</row>
    <row r="521">
      <c r="A521" s="158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</row>
    <row r="522">
      <c r="A522" s="158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</row>
    <row r="523">
      <c r="A523" s="158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</row>
    <row r="524">
      <c r="A524" s="158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</row>
    <row r="525">
      <c r="A525" s="158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</row>
    <row r="526">
      <c r="A526" s="158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</row>
    <row r="527">
      <c r="A527" s="158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</row>
    <row r="528">
      <c r="A528" s="158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</row>
    <row r="529">
      <c r="A529" s="158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</row>
    <row r="530">
      <c r="A530" s="158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</row>
    <row r="531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</row>
    <row r="532">
      <c r="A532" s="158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</row>
    <row r="533">
      <c r="A533" s="158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</row>
    <row r="534">
      <c r="A534" s="158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</row>
    <row r="535">
      <c r="A535" s="158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</row>
    <row r="536">
      <c r="A536" s="158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</row>
    <row r="537">
      <c r="A537" s="158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</row>
    <row r="538">
      <c r="A538" s="158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</row>
    <row r="539">
      <c r="A539" s="158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</row>
    <row r="540">
      <c r="A540" s="158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</row>
    <row r="541">
      <c r="A541" s="158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</row>
    <row r="542">
      <c r="A542" s="158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</row>
    <row r="543">
      <c r="A543" s="158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</row>
    <row r="544">
      <c r="A544" s="158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</row>
    <row r="545">
      <c r="A545" s="158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</row>
    <row r="546">
      <c r="A546" s="158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</row>
    <row r="547">
      <c r="A547" s="158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</row>
    <row r="548">
      <c r="A548" s="158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</row>
    <row r="549">
      <c r="A549" s="158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</row>
    <row r="550">
      <c r="A550" s="158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</row>
    <row r="551">
      <c r="A551" s="158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</row>
    <row r="552">
      <c r="A552" s="158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</row>
    <row r="553">
      <c r="A553" s="158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</row>
    <row r="554">
      <c r="A554" s="158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</row>
    <row r="555">
      <c r="A555" s="158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</row>
    <row r="556">
      <c r="A556" s="158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</row>
    <row r="557">
      <c r="A557" s="158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</row>
    <row r="558">
      <c r="A558" s="158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</row>
    <row r="559">
      <c r="A559" s="158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</row>
    <row r="560">
      <c r="A560" s="158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</row>
    <row r="561">
      <c r="A561" s="158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</row>
    <row r="562">
      <c r="A562" s="158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</row>
    <row r="563">
      <c r="A563" s="158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</row>
    <row r="564">
      <c r="A564" s="158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</row>
    <row r="565">
      <c r="A565" s="158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</row>
    <row r="566">
      <c r="A566" s="158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</row>
    <row r="567">
      <c r="A567" s="158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</row>
    <row r="568">
      <c r="A568" s="158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</row>
    <row r="569">
      <c r="A569" s="158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</row>
    <row r="570">
      <c r="A570" s="158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</row>
    <row r="571">
      <c r="A571" s="158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</row>
    <row r="572">
      <c r="A572" s="158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</row>
    <row r="573">
      <c r="A573" s="158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</row>
    <row r="574">
      <c r="A574" s="158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</row>
    <row r="575">
      <c r="A575" s="158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</row>
    <row r="576">
      <c r="A576" s="158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</row>
    <row r="577">
      <c r="A577" s="158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</row>
    <row r="578">
      <c r="A578" s="158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</row>
    <row r="579">
      <c r="A579" s="158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</row>
    <row r="580">
      <c r="A580" s="158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</row>
    <row r="581">
      <c r="A581" s="158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</row>
    <row r="582">
      <c r="A582" s="158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</row>
    <row r="583">
      <c r="A583" s="158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</row>
    <row r="584">
      <c r="A584" s="158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</row>
    <row r="585">
      <c r="A585" s="158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</row>
    <row r="586">
      <c r="A586" s="158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</row>
    <row r="587">
      <c r="A587" s="158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</row>
    <row r="588">
      <c r="A588" s="158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</row>
    <row r="589">
      <c r="A589" s="158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</row>
    <row r="590">
      <c r="A590" s="158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</row>
    <row r="591">
      <c r="A591" s="158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</row>
    <row r="592">
      <c r="A592" s="158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</row>
    <row r="593">
      <c r="A593" s="158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</row>
    <row r="594">
      <c r="A594" s="158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</row>
    <row r="595">
      <c r="A595" s="158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</row>
    <row r="596">
      <c r="A596" s="158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</row>
    <row r="597">
      <c r="A597" s="158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</row>
    <row r="598">
      <c r="A598" s="158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</row>
    <row r="599">
      <c r="A599" s="158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</row>
    <row r="600">
      <c r="A600" s="158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</row>
    <row r="601">
      <c r="A601" s="158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</row>
    <row r="602">
      <c r="A602" s="158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</row>
    <row r="603">
      <c r="A603" s="158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</row>
    <row r="604">
      <c r="A604" s="158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</row>
    <row r="605">
      <c r="A605" s="158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</row>
    <row r="606">
      <c r="A606" s="158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</row>
    <row r="607">
      <c r="A607" s="158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</row>
    <row r="608">
      <c r="A608" s="158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</row>
    <row r="609">
      <c r="A609" s="158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</row>
    <row r="610">
      <c r="A610" s="158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</row>
    <row r="611">
      <c r="A611" s="158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</row>
    <row r="612">
      <c r="A612" s="158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</row>
    <row r="613">
      <c r="A613" s="158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</row>
    <row r="614">
      <c r="A614" s="158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</row>
    <row r="615">
      <c r="A615" s="158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</row>
    <row r="616">
      <c r="A616" s="158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</row>
    <row r="617">
      <c r="A617" s="158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</row>
    <row r="618">
      <c r="A618" s="158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</row>
    <row r="619">
      <c r="A619" s="158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</row>
    <row r="620">
      <c r="A620" s="158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</row>
    <row r="621">
      <c r="A621" s="158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</row>
    <row r="622">
      <c r="A622" s="158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</row>
    <row r="623">
      <c r="A623" s="158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</row>
    <row r="624">
      <c r="A624" s="158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</row>
    <row r="625">
      <c r="A625" s="158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</row>
    <row r="626">
      <c r="A626" s="158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</row>
    <row r="627">
      <c r="A627" s="158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</row>
    <row r="628">
      <c r="A628" s="158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</row>
    <row r="629">
      <c r="A629" s="158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</row>
    <row r="630">
      <c r="A630" s="158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</row>
    <row r="631">
      <c r="A631" s="158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</row>
    <row r="632">
      <c r="A632" s="158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</row>
    <row r="633">
      <c r="A633" s="158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</row>
    <row r="634">
      <c r="A634" s="158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</row>
    <row r="635">
      <c r="A635" s="158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</row>
    <row r="636">
      <c r="A636" s="158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</row>
    <row r="637">
      <c r="A637" s="158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</row>
    <row r="638">
      <c r="A638" s="158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</row>
    <row r="639">
      <c r="A639" s="158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</row>
    <row r="640">
      <c r="A640" s="158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</row>
    <row r="641">
      <c r="A641" s="158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</row>
    <row r="642">
      <c r="A642" s="158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</row>
    <row r="643">
      <c r="A643" s="158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</row>
    <row r="644">
      <c r="A644" s="158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</row>
    <row r="645">
      <c r="A645" s="158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</row>
    <row r="646">
      <c r="A646" s="158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</row>
    <row r="647">
      <c r="A647" s="158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</row>
    <row r="648">
      <c r="A648" s="158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</row>
    <row r="649">
      <c r="A649" s="158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</row>
    <row r="650">
      <c r="A650" s="158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</row>
    <row r="651">
      <c r="A651" s="158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</row>
    <row r="652">
      <c r="A652" s="158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</row>
    <row r="653">
      <c r="A653" s="158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</row>
    <row r="654">
      <c r="A654" s="158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</row>
    <row r="655">
      <c r="A655" s="158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</row>
    <row r="656">
      <c r="A656" s="158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</row>
    <row r="657">
      <c r="A657" s="158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</row>
    <row r="658">
      <c r="A658" s="158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</row>
    <row r="659">
      <c r="A659" s="158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</row>
    <row r="660">
      <c r="A660" s="158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</row>
    <row r="661">
      <c r="A661" s="158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</row>
    <row r="662">
      <c r="A662" s="158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</row>
    <row r="663">
      <c r="A663" s="158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</row>
    <row r="664">
      <c r="A664" s="158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</row>
    <row r="665">
      <c r="A665" s="158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</row>
    <row r="666">
      <c r="A666" s="158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</row>
    <row r="667">
      <c r="A667" s="158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</row>
    <row r="668">
      <c r="A668" s="158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</row>
    <row r="669">
      <c r="A669" s="158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</row>
    <row r="670">
      <c r="A670" s="158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</row>
    <row r="671">
      <c r="A671" s="158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</row>
    <row r="672">
      <c r="A672" s="158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</row>
    <row r="673">
      <c r="A673" s="158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</row>
    <row r="674">
      <c r="A674" s="158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</row>
    <row r="675">
      <c r="A675" s="158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</row>
    <row r="676">
      <c r="A676" s="158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</row>
    <row r="677">
      <c r="A677" s="158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</row>
    <row r="678">
      <c r="A678" s="158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</row>
    <row r="679">
      <c r="A679" s="158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</row>
    <row r="680">
      <c r="A680" s="158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</row>
    <row r="681">
      <c r="A681" s="158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</row>
    <row r="682">
      <c r="A682" s="158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</row>
    <row r="683">
      <c r="A683" s="158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</row>
    <row r="684">
      <c r="A684" s="158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</row>
    <row r="685">
      <c r="A685" s="158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</row>
    <row r="686">
      <c r="A686" s="158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</row>
    <row r="687">
      <c r="A687" s="158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</row>
    <row r="688">
      <c r="A688" s="158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</row>
    <row r="689">
      <c r="A689" s="158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</row>
    <row r="690">
      <c r="A690" s="158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</row>
    <row r="691">
      <c r="A691" s="158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</row>
    <row r="692">
      <c r="A692" s="158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</row>
    <row r="693">
      <c r="A693" s="158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</row>
    <row r="694">
      <c r="A694" s="158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</row>
    <row r="695">
      <c r="A695" s="158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</row>
    <row r="696">
      <c r="A696" s="158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</row>
    <row r="697">
      <c r="A697" s="158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</row>
    <row r="698">
      <c r="A698" s="158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</row>
    <row r="699">
      <c r="A699" s="158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</row>
    <row r="700">
      <c r="A700" s="158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</row>
    <row r="701">
      <c r="A701" s="158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</row>
    <row r="702">
      <c r="A702" s="158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</row>
    <row r="703">
      <c r="A703" s="158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</row>
    <row r="704">
      <c r="A704" s="158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</row>
    <row r="705">
      <c r="A705" s="158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</row>
    <row r="706">
      <c r="A706" s="158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</row>
    <row r="707">
      <c r="A707" s="158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</row>
    <row r="708">
      <c r="A708" s="158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</row>
    <row r="709">
      <c r="A709" s="158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</row>
    <row r="710">
      <c r="A710" s="158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</row>
    <row r="711">
      <c r="A711" s="158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</row>
    <row r="712">
      <c r="A712" s="158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</row>
    <row r="713">
      <c r="A713" s="158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</row>
    <row r="714">
      <c r="A714" s="158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</row>
    <row r="715">
      <c r="A715" s="158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</row>
    <row r="716">
      <c r="A716" s="158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</row>
    <row r="717">
      <c r="A717" s="158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</row>
    <row r="718">
      <c r="A718" s="158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</row>
    <row r="719">
      <c r="A719" s="158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</row>
    <row r="720">
      <c r="A720" s="158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</row>
    <row r="721">
      <c r="A721" s="158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</row>
    <row r="722">
      <c r="A722" s="158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</row>
    <row r="723">
      <c r="A723" s="158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</row>
    <row r="724">
      <c r="A724" s="158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</row>
    <row r="725">
      <c r="A725" s="158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</row>
    <row r="726">
      <c r="A726" s="158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</row>
    <row r="727">
      <c r="A727" s="158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</row>
    <row r="728">
      <c r="A728" s="158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</row>
    <row r="729">
      <c r="A729" s="158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</row>
    <row r="730">
      <c r="A730" s="158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</row>
    <row r="731">
      <c r="A731" s="158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</row>
    <row r="732">
      <c r="A732" s="158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</row>
    <row r="733">
      <c r="A733" s="158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</row>
    <row r="734">
      <c r="A734" s="158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</row>
    <row r="735">
      <c r="A735" s="158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</row>
    <row r="736">
      <c r="A736" s="158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</row>
    <row r="737">
      <c r="A737" s="158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</row>
    <row r="738">
      <c r="A738" s="158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</row>
    <row r="739">
      <c r="A739" s="158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</row>
    <row r="740">
      <c r="A740" s="158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</row>
    <row r="741">
      <c r="A741" s="158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</row>
    <row r="742">
      <c r="A742" s="158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</row>
    <row r="743">
      <c r="A743" s="158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</row>
    <row r="744">
      <c r="A744" s="158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</row>
    <row r="745">
      <c r="A745" s="158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</row>
    <row r="746">
      <c r="A746" s="158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</row>
    <row r="747">
      <c r="A747" s="158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</row>
    <row r="748">
      <c r="A748" s="158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</row>
    <row r="749">
      <c r="A749" s="158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</row>
    <row r="750">
      <c r="A750" s="158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</row>
    <row r="751">
      <c r="A751" s="158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</row>
    <row r="752">
      <c r="A752" s="158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</row>
    <row r="753">
      <c r="A753" s="158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</row>
    <row r="754">
      <c r="A754" s="158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</row>
    <row r="755">
      <c r="A755" s="158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</row>
    <row r="756">
      <c r="A756" s="158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</row>
    <row r="757">
      <c r="A757" s="158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</row>
    <row r="758">
      <c r="A758" s="158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</row>
    <row r="759">
      <c r="A759" s="158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</row>
    <row r="760">
      <c r="A760" s="158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</row>
    <row r="761">
      <c r="A761" s="158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</row>
    <row r="762">
      <c r="A762" s="158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</row>
    <row r="763">
      <c r="A763" s="158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</row>
    <row r="764">
      <c r="A764" s="158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</row>
    <row r="765">
      <c r="A765" s="158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</row>
    <row r="766">
      <c r="A766" s="158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</row>
    <row r="767">
      <c r="A767" s="158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</row>
    <row r="768">
      <c r="A768" s="158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</row>
    <row r="769">
      <c r="A769" s="158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</row>
    <row r="770">
      <c r="A770" s="158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</row>
    <row r="771">
      <c r="A771" s="158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</row>
    <row r="772">
      <c r="A772" s="158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</row>
    <row r="773">
      <c r="A773" s="158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</row>
    <row r="774">
      <c r="A774" s="158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</row>
    <row r="775">
      <c r="A775" s="158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</row>
    <row r="776">
      <c r="A776" s="158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</row>
    <row r="777">
      <c r="A777" s="158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</row>
    <row r="778">
      <c r="A778" s="158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</row>
    <row r="779">
      <c r="A779" s="158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</row>
    <row r="780">
      <c r="A780" s="158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</row>
    <row r="781">
      <c r="A781" s="158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</row>
    <row r="782">
      <c r="A782" s="158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</row>
    <row r="783">
      <c r="A783" s="158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</row>
    <row r="784">
      <c r="A784" s="158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</row>
    <row r="785">
      <c r="A785" s="158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</row>
    <row r="786">
      <c r="A786" s="158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</row>
    <row r="787">
      <c r="A787" s="158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</row>
    <row r="788">
      <c r="A788" s="158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</row>
    <row r="789">
      <c r="A789" s="158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</row>
    <row r="790">
      <c r="A790" s="158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</row>
    <row r="791">
      <c r="A791" s="158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</row>
    <row r="792">
      <c r="A792" s="158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</row>
    <row r="793">
      <c r="A793" s="158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</row>
    <row r="794">
      <c r="A794" s="158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</row>
    <row r="795">
      <c r="A795" s="158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</row>
    <row r="796">
      <c r="A796" s="158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</row>
    <row r="797">
      <c r="A797" s="158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</row>
    <row r="798">
      <c r="A798" s="158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</row>
    <row r="799">
      <c r="A799" s="158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</row>
    <row r="800">
      <c r="A800" s="158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</row>
    <row r="801">
      <c r="A801" s="158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</row>
    <row r="802">
      <c r="A802" s="158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</row>
    <row r="803">
      <c r="A803" s="158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</row>
    <row r="804">
      <c r="A804" s="158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</row>
    <row r="805">
      <c r="A805" s="158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</row>
    <row r="806">
      <c r="A806" s="158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</row>
    <row r="807">
      <c r="A807" s="158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</row>
    <row r="808">
      <c r="A808" s="158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</row>
    <row r="809">
      <c r="A809" s="158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</row>
    <row r="810">
      <c r="A810" s="158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</row>
    <row r="811">
      <c r="A811" s="158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</row>
    <row r="812">
      <c r="A812" s="158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</row>
    <row r="813">
      <c r="A813" s="158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</row>
    <row r="814">
      <c r="A814" s="158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</row>
    <row r="815">
      <c r="A815" s="158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</row>
    <row r="816">
      <c r="A816" s="158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</row>
    <row r="817">
      <c r="A817" s="158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</row>
    <row r="818">
      <c r="A818" s="158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</row>
    <row r="819">
      <c r="A819" s="158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</row>
    <row r="820">
      <c r="A820" s="158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</row>
    <row r="821">
      <c r="A821" s="158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</row>
    <row r="822">
      <c r="A822" s="158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</row>
    <row r="823">
      <c r="A823" s="158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</row>
    <row r="824">
      <c r="A824" s="158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</row>
    <row r="825">
      <c r="A825" s="158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</row>
    <row r="826">
      <c r="A826" s="158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</row>
    <row r="827">
      <c r="A827" s="158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</row>
    <row r="828">
      <c r="A828" s="158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</row>
    <row r="829">
      <c r="A829" s="158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</row>
    <row r="830">
      <c r="A830" s="158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</row>
    <row r="831">
      <c r="A831" s="158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</row>
    <row r="832">
      <c r="A832" s="158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</row>
    <row r="833">
      <c r="A833" s="158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</row>
    <row r="834">
      <c r="A834" s="158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</row>
    <row r="835">
      <c r="A835" s="158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</row>
    <row r="836">
      <c r="A836" s="158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</row>
    <row r="837">
      <c r="A837" s="158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</row>
    <row r="838">
      <c r="A838" s="158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</row>
    <row r="839">
      <c r="A839" s="158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</row>
    <row r="840">
      <c r="A840" s="158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</row>
    <row r="841">
      <c r="A841" s="158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</row>
    <row r="842">
      <c r="A842" s="158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</row>
    <row r="843">
      <c r="A843" s="158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</row>
    <row r="844">
      <c r="A844" s="158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</row>
    <row r="845">
      <c r="A845" s="158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</row>
    <row r="846">
      <c r="A846" s="158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</row>
    <row r="847">
      <c r="A847" s="158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</row>
    <row r="848">
      <c r="A848" s="158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</row>
    <row r="849">
      <c r="A849" s="158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</row>
    <row r="850">
      <c r="A850" s="158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</row>
    <row r="851">
      <c r="A851" s="158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</row>
    <row r="852">
      <c r="A852" s="158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</row>
    <row r="853">
      <c r="A853" s="158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</row>
    <row r="854">
      <c r="A854" s="158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</row>
    <row r="855">
      <c r="A855" s="158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</row>
    <row r="856">
      <c r="A856" s="158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</row>
    <row r="857">
      <c r="A857" s="158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</row>
    <row r="858">
      <c r="A858" s="158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</row>
    <row r="859">
      <c r="A859" s="158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</row>
    <row r="860">
      <c r="A860" s="158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</row>
    <row r="861">
      <c r="A861" s="158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</row>
    <row r="862">
      <c r="A862" s="158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</row>
    <row r="863">
      <c r="A863" s="158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</row>
    <row r="864">
      <c r="A864" s="158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</row>
    <row r="865">
      <c r="A865" s="158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</row>
    <row r="866">
      <c r="A866" s="158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</row>
    <row r="867">
      <c r="A867" s="158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</row>
    <row r="868">
      <c r="A868" s="158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</row>
    <row r="869">
      <c r="A869" s="158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</row>
    <row r="870">
      <c r="A870" s="158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</row>
    <row r="871">
      <c r="A871" s="158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</row>
    <row r="872">
      <c r="A872" s="158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</row>
    <row r="873">
      <c r="A873" s="158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</row>
    <row r="874">
      <c r="A874" s="158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</row>
    <row r="875">
      <c r="A875" s="158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</row>
    <row r="876">
      <c r="A876" s="158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</row>
    <row r="877">
      <c r="A877" s="158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</row>
    <row r="878">
      <c r="A878" s="158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</row>
    <row r="879">
      <c r="A879" s="158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</row>
    <row r="880">
      <c r="A880" s="158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</row>
    <row r="881">
      <c r="A881" s="158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</row>
    <row r="882">
      <c r="A882" s="158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</row>
    <row r="883">
      <c r="A883" s="158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</row>
    <row r="884">
      <c r="A884" s="158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</row>
    <row r="885">
      <c r="A885" s="158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</row>
    <row r="886">
      <c r="A886" s="158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</row>
    <row r="887">
      <c r="A887" s="158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</row>
    <row r="888">
      <c r="A888" s="158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</row>
    <row r="889">
      <c r="A889" s="158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</row>
    <row r="890">
      <c r="A890" s="158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</row>
    <row r="891">
      <c r="A891" s="158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</row>
    <row r="892">
      <c r="A892" s="158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</row>
    <row r="893">
      <c r="A893" s="158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</row>
    <row r="894">
      <c r="A894" s="158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</row>
    <row r="895">
      <c r="A895" s="158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</row>
    <row r="896">
      <c r="A896" s="158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</row>
    <row r="897">
      <c r="A897" s="158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</row>
    <row r="898">
      <c r="A898" s="158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</row>
    <row r="899">
      <c r="A899" s="158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</row>
    <row r="900">
      <c r="A900" s="158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</row>
    <row r="901">
      <c r="A901" s="158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</row>
    <row r="902">
      <c r="A902" s="158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</row>
    <row r="903">
      <c r="A903" s="158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</row>
    <row r="904">
      <c r="A904" s="158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</row>
    <row r="905">
      <c r="A905" s="158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</row>
    <row r="906">
      <c r="A906" s="158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</row>
    <row r="907">
      <c r="A907" s="158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</row>
    <row r="908">
      <c r="A908" s="158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</row>
    <row r="909">
      <c r="A909" s="158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</row>
    <row r="910">
      <c r="A910" s="158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</row>
    <row r="911">
      <c r="A911" s="158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</row>
    <row r="912">
      <c r="A912" s="158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</row>
    <row r="913">
      <c r="A913" s="158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</row>
    <row r="914">
      <c r="A914" s="158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</row>
    <row r="915">
      <c r="A915" s="158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</row>
    <row r="916">
      <c r="A916" s="158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</row>
    <row r="917">
      <c r="A917" s="158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</row>
    <row r="918">
      <c r="A918" s="158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</row>
    <row r="919">
      <c r="A919" s="158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</row>
    <row r="920">
      <c r="A920" s="158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</row>
    <row r="921">
      <c r="A921" s="158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</row>
    <row r="922">
      <c r="A922" s="158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</row>
    <row r="923">
      <c r="A923" s="158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</row>
    <row r="924">
      <c r="A924" s="158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</row>
    <row r="925">
      <c r="A925" s="158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</row>
    <row r="926">
      <c r="A926" s="158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</row>
    <row r="927">
      <c r="A927" s="158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</row>
    <row r="928">
      <c r="A928" s="158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</row>
    <row r="929">
      <c r="A929" s="158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</row>
    <row r="930">
      <c r="A930" s="158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</row>
    <row r="931">
      <c r="A931" s="158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</row>
    <row r="932">
      <c r="A932" s="158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</row>
    <row r="933">
      <c r="A933" s="158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</row>
    <row r="934">
      <c r="A934" s="158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</row>
    <row r="935">
      <c r="A935" s="158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</row>
    <row r="936">
      <c r="A936" s="158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</row>
    <row r="937">
      <c r="A937" s="158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</row>
    <row r="938">
      <c r="A938" s="158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</row>
    <row r="939">
      <c r="A939" s="158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</row>
    <row r="940">
      <c r="A940" s="158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</row>
    <row r="941">
      <c r="A941" s="158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</row>
    <row r="942">
      <c r="A942" s="158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</row>
    <row r="943">
      <c r="A943" s="158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</row>
    <row r="944">
      <c r="A944" s="158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</row>
    <row r="945">
      <c r="A945" s="158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</row>
    <row r="946">
      <c r="A946" s="158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</row>
    <row r="947">
      <c r="A947" s="158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</row>
    <row r="948">
      <c r="A948" s="158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</row>
    <row r="949">
      <c r="A949" s="158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</row>
    <row r="950">
      <c r="A950" s="158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</row>
    <row r="951">
      <c r="A951" s="158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</row>
    <row r="952">
      <c r="A952" s="158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</row>
    <row r="953">
      <c r="A953" s="158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</row>
    <row r="954">
      <c r="A954" s="158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</row>
    <row r="955">
      <c r="A955" s="158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</row>
    <row r="956">
      <c r="A956" s="158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</row>
    <row r="957">
      <c r="A957" s="158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</row>
    <row r="958">
      <c r="A958" s="158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</row>
    <row r="959">
      <c r="A959" s="158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</row>
    <row r="960">
      <c r="A960" s="158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</row>
    <row r="961">
      <c r="A961" s="158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</row>
    <row r="962">
      <c r="A962" s="158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</row>
    <row r="963">
      <c r="A963" s="158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</row>
    <row r="964">
      <c r="A964" s="158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</row>
    <row r="965">
      <c r="A965" s="158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</row>
    <row r="966">
      <c r="A966" s="158"/>
      <c r="B966" s="158"/>
      <c r="C966" s="158"/>
      <c r="D966" s="158"/>
      <c r="E966" s="158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</row>
    <row r="967">
      <c r="A967" s="158"/>
      <c r="B967" s="158"/>
      <c r="C967" s="158"/>
      <c r="D967" s="158"/>
      <c r="E967" s="158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</row>
    <row r="968">
      <c r="A968" s="158"/>
      <c r="B968" s="158"/>
      <c r="C968" s="158"/>
      <c r="D968" s="158"/>
      <c r="E968" s="158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</row>
    <row r="969">
      <c r="A969" s="158"/>
      <c r="B969" s="158"/>
      <c r="C969" s="158"/>
      <c r="D969" s="158"/>
      <c r="E969" s="158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</row>
    <row r="970">
      <c r="A970" s="158"/>
      <c r="B970" s="158"/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</row>
    <row r="971">
      <c r="A971" s="158"/>
      <c r="B971" s="158"/>
      <c r="C971" s="158"/>
      <c r="D971" s="158"/>
      <c r="E971" s="158"/>
      <c r="F971" s="158"/>
      <c r="G971" s="158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</row>
    <row r="972">
      <c r="A972" s="158"/>
      <c r="B972" s="158"/>
      <c r="C972" s="158"/>
      <c r="D972" s="158"/>
      <c r="E972" s="158"/>
      <c r="F972" s="158"/>
      <c r="G972" s="158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</row>
    <row r="973">
      <c r="A973" s="158"/>
      <c r="B973" s="158"/>
      <c r="C973" s="158"/>
      <c r="D973" s="158"/>
      <c r="E973" s="158"/>
      <c r="F973" s="158"/>
      <c r="G973" s="158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</row>
    <row r="974">
      <c r="A974" s="158"/>
      <c r="B974" s="158"/>
      <c r="C974" s="158"/>
      <c r="D974" s="158"/>
      <c r="E974" s="158"/>
      <c r="F974" s="158"/>
      <c r="G974" s="158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</row>
    <row r="975">
      <c r="A975" s="158"/>
      <c r="B975" s="158"/>
      <c r="C975" s="158"/>
      <c r="D975" s="158"/>
      <c r="E975" s="158"/>
      <c r="F975" s="158"/>
      <c r="G975" s="158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</row>
    <row r="976">
      <c r="A976" s="158"/>
      <c r="B976" s="158"/>
      <c r="C976" s="158"/>
      <c r="D976" s="158"/>
      <c r="E976" s="158"/>
      <c r="F976" s="158"/>
      <c r="G976" s="158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</row>
    <row r="977">
      <c r="A977" s="158"/>
      <c r="B977" s="158"/>
      <c r="C977" s="158"/>
      <c r="D977" s="158"/>
      <c r="E977" s="158"/>
      <c r="F977" s="158"/>
      <c r="G977" s="158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</row>
    <row r="978">
      <c r="A978" s="158"/>
      <c r="B978" s="158"/>
      <c r="C978" s="158"/>
      <c r="D978" s="158"/>
      <c r="E978" s="158"/>
      <c r="F978" s="158"/>
      <c r="G978" s="158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</row>
    <row r="979">
      <c r="A979" s="158"/>
      <c r="B979" s="158"/>
      <c r="C979" s="158"/>
      <c r="D979" s="158"/>
      <c r="E979" s="158"/>
      <c r="F979" s="158"/>
      <c r="G979" s="158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</row>
    <row r="980">
      <c r="A980" s="158"/>
      <c r="B980" s="158"/>
      <c r="C980" s="158"/>
      <c r="D980" s="158"/>
      <c r="E980" s="158"/>
      <c r="F980" s="158"/>
      <c r="G980" s="158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</row>
    <row r="981">
      <c r="A981" s="158"/>
      <c r="B981" s="158"/>
      <c r="C981" s="158"/>
      <c r="D981" s="158"/>
      <c r="E981" s="158"/>
      <c r="F981" s="158"/>
      <c r="G981" s="158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</row>
    <row r="982">
      <c r="A982" s="158"/>
      <c r="B982" s="158"/>
      <c r="C982" s="158"/>
      <c r="D982" s="158"/>
      <c r="E982" s="158"/>
      <c r="F982" s="158"/>
      <c r="G982" s="158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</row>
    <row r="983">
      <c r="A983" s="158"/>
      <c r="B983" s="158"/>
      <c r="C983" s="158"/>
      <c r="D983" s="158"/>
      <c r="E983" s="158"/>
      <c r="F983" s="158"/>
      <c r="G983" s="158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</row>
    <row r="984">
      <c r="A984" s="158"/>
      <c r="B984" s="158"/>
      <c r="C984" s="158"/>
      <c r="D984" s="158"/>
      <c r="E984" s="158"/>
      <c r="F984" s="158"/>
      <c r="G984" s="158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</row>
    <row r="985">
      <c r="A985" s="158"/>
      <c r="B985" s="158"/>
      <c r="C985" s="158"/>
      <c r="D985" s="158"/>
      <c r="E985" s="158"/>
      <c r="F985" s="158"/>
      <c r="G985" s="158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</row>
    <row r="986">
      <c r="A986" s="158"/>
      <c r="B986" s="158"/>
      <c r="C986" s="158"/>
      <c r="D986" s="158"/>
      <c r="E986" s="158"/>
      <c r="F986" s="158"/>
      <c r="G986" s="158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</row>
    <row r="987">
      <c r="A987" s="158"/>
      <c r="B987" s="158"/>
      <c r="C987" s="158"/>
      <c r="D987" s="158"/>
      <c r="E987" s="158"/>
      <c r="F987" s="158"/>
      <c r="G987" s="158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</row>
    <row r="988">
      <c r="A988" s="158"/>
      <c r="B988" s="158"/>
      <c r="C988" s="158"/>
      <c r="D988" s="158"/>
      <c r="E988" s="158"/>
      <c r="F988" s="158"/>
      <c r="G988" s="158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</row>
    <row r="989">
      <c r="A989" s="158"/>
      <c r="B989" s="158"/>
      <c r="C989" s="158"/>
      <c r="D989" s="158"/>
      <c r="E989" s="158"/>
      <c r="F989" s="158"/>
      <c r="G989" s="158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</row>
    <row r="990">
      <c r="A990" s="158"/>
      <c r="B990" s="158"/>
      <c r="C990" s="158"/>
      <c r="D990" s="158"/>
      <c r="E990" s="158"/>
      <c r="F990" s="158"/>
      <c r="G990" s="158"/>
      <c r="H990" s="158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</row>
    <row r="991">
      <c r="A991" s="158"/>
      <c r="B991" s="158"/>
      <c r="C991" s="158"/>
      <c r="D991" s="158"/>
      <c r="E991" s="158"/>
      <c r="F991" s="158"/>
      <c r="G991" s="158"/>
      <c r="H991" s="158"/>
      <c r="I991" s="158"/>
      <c r="J991" s="158"/>
      <c r="K991" s="158"/>
      <c r="L991" s="158"/>
      <c r="M991" s="158"/>
      <c r="N991" s="158"/>
      <c r="O991" s="158"/>
      <c r="P991" s="158"/>
      <c r="Q991" s="158"/>
      <c r="R991" s="158"/>
    </row>
    <row r="992">
      <c r="A992" s="158"/>
      <c r="B992" s="158"/>
      <c r="C992" s="158"/>
      <c r="D992" s="158"/>
      <c r="E992" s="158"/>
      <c r="F992" s="158"/>
      <c r="G992" s="158"/>
      <c r="H992" s="158"/>
      <c r="I992" s="158"/>
      <c r="J992" s="158"/>
      <c r="K992" s="158"/>
      <c r="L992" s="158"/>
      <c r="M992" s="158"/>
      <c r="N992" s="158"/>
      <c r="O992" s="158"/>
      <c r="P992" s="158"/>
      <c r="Q992" s="158"/>
      <c r="R992" s="158"/>
    </row>
    <row r="993">
      <c r="A993" s="158"/>
      <c r="B993" s="158"/>
      <c r="C993" s="158"/>
      <c r="D993" s="158"/>
      <c r="E993" s="158"/>
      <c r="F993" s="158"/>
      <c r="G993" s="158"/>
      <c r="H993" s="158"/>
      <c r="I993" s="158"/>
      <c r="J993" s="158"/>
      <c r="K993" s="158"/>
      <c r="L993" s="158"/>
      <c r="M993" s="158"/>
      <c r="N993" s="158"/>
      <c r="O993" s="158"/>
      <c r="P993" s="158"/>
      <c r="Q993" s="158"/>
      <c r="R993" s="158"/>
    </row>
    <row r="994">
      <c r="A994" s="158"/>
      <c r="B994" s="158"/>
      <c r="C994" s="158"/>
      <c r="D994" s="158"/>
      <c r="E994" s="158"/>
      <c r="F994" s="158"/>
      <c r="G994" s="158"/>
      <c r="H994" s="158"/>
      <c r="I994" s="158"/>
      <c r="J994" s="158"/>
      <c r="K994" s="158"/>
      <c r="L994" s="158"/>
      <c r="M994" s="158"/>
      <c r="N994" s="158"/>
      <c r="O994" s="158"/>
      <c r="P994" s="158"/>
      <c r="Q994" s="158"/>
      <c r="R994" s="158"/>
    </row>
    <row r="995">
      <c r="A995" s="158"/>
      <c r="B995" s="158"/>
      <c r="C995" s="158"/>
      <c r="D995" s="158"/>
      <c r="E995" s="158"/>
      <c r="F995" s="158"/>
      <c r="G995" s="158"/>
      <c r="H995" s="158"/>
      <c r="I995" s="158"/>
      <c r="J995" s="158"/>
      <c r="K995" s="158"/>
      <c r="L995" s="158"/>
      <c r="M995" s="158"/>
      <c r="N995" s="158"/>
      <c r="O995" s="158"/>
      <c r="P995" s="158"/>
      <c r="Q995" s="158"/>
      <c r="R995" s="158"/>
    </row>
    <row r="996">
      <c r="A996" s="158"/>
      <c r="B996" s="158"/>
      <c r="C996" s="158"/>
      <c r="D996" s="158"/>
      <c r="E996" s="158"/>
      <c r="F996" s="158"/>
      <c r="G996" s="158"/>
      <c r="H996" s="158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</row>
    <row r="997">
      <c r="A997" s="158"/>
      <c r="B997" s="158"/>
      <c r="C997" s="158"/>
      <c r="D997" s="158"/>
      <c r="E997" s="158"/>
      <c r="F997" s="158"/>
      <c r="G997" s="158"/>
      <c r="H997" s="158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</row>
    <row r="998">
      <c r="A998" s="158"/>
      <c r="B998" s="158"/>
      <c r="C998" s="158"/>
      <c r="D998" s="158"/>
      <c r="E998" s="158"/>
      <c r="F998" s="158"/>
      <c r="G998" s="158"/>
      <c r="H998" s="158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</row>
    <row r="999">
      <c r="A999" s="158"/>
      <c r="B999" s="158"/>
      <c r="C999" s="158"/>
      <c r="D999" s="158"/>
      <c r="E999" s="158"/>
      <c r="F999" s="158"/>
      <c r="G999" s="158"/>
      <c r="H999" s="158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</row>
    <row r="1000">
      <c r="A1000" s="158"/>
      <c r="B1000" s="158"/>
      <c r="C1000" s="158"/>
      <c r="D1000" s="158"/>
      <c r="E1000" s="158"/>
      <c r="F1000" s="158"/>
      <c r="G1000" s="158"/>
      <c r="H1000" s="158"/>
      <c r="I1000" s="158"/>
      <c r="J1000" s="158"/>
      <c r="K1000" s="158"/>
      <c r="L1000" s="158"/>
      <c r="M1000" s="158"/>
      <c r="N1000" s="158"/>
      <c r="O1000" s="158"/>
      <c r="P1000" s="158"/>
      <c r="Q1000" s="158"/>
      <c r="R1000" s="158"/>
    </row>
  </sheetData>
  <mergeCells count="50">
    <mergeCell ref="O5:R5"/>
    <mergeCell ref="Q6:R6"/>
    <mergeCell ref="P9:R9"/>
    <mergeCell ref="L30:N30"/>
    <mergeCell ref="L52:N52"/>
    <mergeCell ref="P58:R58"/>
    <mergeCell ref="D1:N2"/>
    <mergeCell ref="O2:R2"/>
    <mergeCell ref="D3:N3"/>
    <mergeCell ref="O3:R3"/>
    <mergeCell ref="D4:N4"/>
    <mergeCell ref="O4:R4"/>
    <mergeCell ref="A5:C5"/>
    <mergeCell ref="D5:L5"/>
    <mergeCell ref="M5:N5"/>
    <mergeCell ref="B7:C7"/>
    <mergeCell ref="H8:I8"/>
    <mergeCell ref="A9:A15"/>
    <mergeCell ref="H9:J9"/>
    <mergeCell ref="L9:N9"/>
    <mergeCell ref="A16:A24"/>
    <mergeCell ref="C16:C17"/>
    <mergeCell ref="C18:C19"/>
    <mergeCell ref="C20:C21"/>
    <mergeCell ref="C23:C24"/>
    <mergeCell ref="C26:C27"/>
    <mergeCell ref="H32:J32"/>
    <mergeCell ref="H50:J50"/>
    <mergeCell ref="A70:A71"/>
    <mergeCell ref="A72:A73"/>
    <mergeCell ref="P72:R72"/>
    <mergeCell ref="A54:A58"/>
    <mergeCell ref="A59:A63"/>
    <mergeCell ref="A64:A65"/>
    <mergeCell ref="A66:A67"/>
    <mergeCell ref="A68:A69"/>
    <mergeCell ref="H69:J69"/>
    <mergeCell ref="L69:N69"/>
    <mergeCell ref="A74:A78"/>
    <mergeCell ref="A79:A81"/>
    <mergeCell ref="A82:A83"/>
    <mergeCell ref="A85:R85"/>
    <mergeCell ref="A86:R86"/>
    <mergeCell ref="A25:A33"/>
    <mergeCell ref="A34:A41"/>
    <mergeCell ref="C36:C39"/>
    <mergeCell ref="A42:A44"/>
    <mergeCell ref="A45:A47"/>
    <mergeCell ref="A48:A50"/>
    <mergeCell ref="A51:A53"/>
  </mergeCells>
  <hyperlinks>
    <hyperlink r:id="rId1" ref="A8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11.63"/>
    <col customWidth="1" min="3" max="3" width="10.88"/>
    <col customWidth="1" min="5" max="6" width="9.0"/>
    <col customWidth="1" min="7" max="7" width="3.88"/>
    <col customWidth="1" min="11" max="11" width="2.13"/>
    <col customWidth="1" min="15" max="15" width="2.63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2"/>
      <c r="Q1" s="2"/>
      <c r="R1" s="5"/>
    </row>
    <row r="2" ht="45.0" customHeight="1">
      <c r="A2" s="6"/>
      <c r="B2" s="7"/>
      <c r="C2" s="7"/>
      <c r="O2" s="8" t="s">
        <v>1</v>
      </c>
      <c r="R2" s="9"/>
    </row>
    <row r="3">
      <c r="A3" s="6"/>
      <c r="B3" s="7"/>
      <c r="C3" s="7"/>
      <c r="D3" s="10" t="s">
        <v>2</v>
      </c>
      <c r="O3" s="8" t="s">
        <v>3</v>
      </c>
      <c r="R3" s="9"/>
    </row>
    <row r="4">
      <c r="A4" s="6"/>
      <c r="B4" s="7"/>
      <c r="C4" s="7"/>
      <c r="D4" s="11" t="s">
        <v>4</v>
      </c>
      <c r="O4" s="13" t="s">
        <v>6</v>
      </c>
      <c r="R4" s="9"/>
    </row>
    <row r="5">
      <c r="A5" s="14" t="s">
        <v>7</v>
      </c>
      <c r="B5" s="15"/>
      <c r="C5" s="15"/>
      <c r="D5" s="16" t="s">
        <v>8</v>
      </c>
      <c r="E5" s="15"/>
      <c r="F5" s="15"/>
      <c r="G5" s="15"/>
      <c r="H5" s="15"/>
      <c r="I5" s="15"/>
      <c r="J5" s="15"/>
      <c r="K5" s="15"/>
      <c r="L5" s="15"/>
      <c r="M5" s="17" t="s">
        <v>9</v>
      </c>
      <c r="N5" s="15"/>
      <c r="O5" s="19" t="s">
        <v>10</v>
      </c>
      <c r="P5" s="15"/>
      <c r="Q5" s="15"/>
      <c r="R5" s="21"/>
    </row>
    <row r="6">
      <c r="A6" s="7"/>
      <c r="B6" s="7"/>
      <c r="C6" s="7"/>
      <c r="D6" s="7"/>
      <c r="E6" s="7"/>
      <c r="F6" s="7"/>
      <c r="G6" s="7"/>
      <c r="H6" s="22" t="s">
        <v>11</v>
      </c>
      <c r="I6" s="22" t="s">
        <v>12</v>
      </c>
      <c r="J6" s="22" t="s">
        <v>13</v>
      </c>
      <c r="K6" s="7"/>
      <c r="L6" s="7"/>
      <c r="M6" s="7"/>
      <c r="N6" s="7"/>
      <c r="O6" s="7"/>
      <c r="P6" s="7"/>
      <c r="Q6" s="11" t="str">
        <f>IFERROR(__xludf.DUMMYFUNCTION("IMPORTRANGE(""https://docs.google.com/spreadsheets/d/1_JtdCAW9ExAzKcl-srFPpHdbhC_1_xp_RGAf187YmUk/edit?gid=1985709448#gid=1985709448"",""PRINT USD!S6"")"),"24.07.2026")</f>
        <v>24.07.2026</v>
      </c>
    </row>
    <row r="7">
      <c r="A7" s="24" t="str">
        <f>IFERROR(__xludf.DUMMYFUNCTION("IMPORTRANGE(""https://docs.google.com/spreadsheets/d/1_JtdCAW9ExAzKcl-srFPpHdbhC_1_xp_RGAf187YmUk/edit?gid=1985709448#gid=1985709448"",""inr!c7:T"")"),"")</f>
        <v/>
      </c>
      <c r="B7" s="25" t="str">
        <f>IFERROR(__xludf.DUMMYFUNCTION("""COMPUTED_VALUE"""),"ROUND DIAMOND")</f>
        <v>ROUND DIAMOND</v>
      </c>
      <c r="D7" s="24"/>
      <c r="E7" s="27" t="str">
        <f>IFERROR(__xludf.DUMMYFUNCTION("""COMPUTED_VALUE"""),"INR/CT")</f>
        <v>INR/CT</v>
      </c>
      <c r="F7" s="27" t="str">
        <f>IFERROR(__xludf.DUMMYFUNCTION("""COMPUTED_VALUE"""),"INR/CT")</f>
        <v>INR/CT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>
      <c r="A8" s="30"/>
      <c r="B8" s="31" t="str">
        <f>IFERROR(__xludf.DUMMYFUNCTION("""COMPUTED_VALUE"""),"SEAVE SIZE")</f>
        <v>SEAVE SIZE</v>
      </c>
      <c r="C8" s="31" t="str">
        <f>IFERROR(__xludf.DUMMYFUNCTION("""COMPUTED_VALUE"""),"PTS")</f>
        <v>PTS</v>
      </c>
      <c r="D8" s="31" t="str">
        <f>IFERROR(__xludf.DUMMYFUNCTION("""COMPUTED_VALUE"""),"DIA. MM")</f>
        <v>DIA. MM</v>
      </c>
      <c r="E8" s="31" t="str">
        <f>IFERROR(__xludf.DUMMYFUNCTION("""COMPUTED_VALUE"""),"HPHT")</f>
        <v>HPHT</v>
      </c>
      <c r="F8" s="33" t="str">
        <f>IFERROR(__xludf.DUMMYFUNCTION("""COMPUTED_VALUE"""),"CVD")</f>
        <v>CVD</v>
      </c>
      <c r="G8" s="7"/>
      <c r="H8" s="26" t="str">
        <f>IFERROR(__xludf.DUMMYFUNCTION("""COMPUTED_VALUE"""),"FANCY SHAPES")</f>
        <v>FANCY SHAPES</v>
      </c>
      <c r="J8" s="7"/>
      <c r="K8" s="7"/>
      <c r="L8" s="7"/>
      <c r="M8" s="7"/>
      <c r="N8" s="7"/>
      <c r="O8" s="7"/>
      <c r="P8" s="7"/>
      <c r="Q8" s="7"/>
      <c r="R8" s="7"/>
    </row>
    <row r="9">
      <c r="A9" s="36" t="str">
        <f>IFERROR(__xludf.DUMMYFUNCTION("""COMPUTED_VALUE"""),"(-2)")</f>
        <v>(-2)</v>
      </c>
      <c r="B9" s="37" t="str">
        <f>IFERROR(__xludf.DUMMYFUNCTION("""COMPUTED_VALUE"""),"00000-0000")</f>
        <v>00000-0000</v>
      </c>
      <c r="C9" s="39">
        <f>IFERROR(__xludf.DUMMYFUNCTION("""COMPUTED_VALUE"""),0.002)</f>
        <v>0.002</v>
      </c>
      <c r="D9" s="39" t="str">
        <f>IFERROR(__xludf.DUMMYFUNCTION("""COMPUTED_VALUE"""),"0.70-0.80mm")</f>
        <v>0.70-0.80mm</v>
      </c>
      <c r="E9" s="41">
        <f>IFERROR(__xludf.DUMMYFUNCTION("""COMPUTED_VALUE"""),17500.0)</f>
        <v>17500</v>
      </c>
      <c r="F9" s="42">
        <f>IFERROR(__xludf.DUMMYFUNCTION("""COMPUTED_VALUE"""),18878.260869565216)</f>
        <v>18878.26087</v>
      </c>
      <c r="G9" s="7"/>
      <c r="H9" s="25" t="str">
        <f>IFERROR(__xludf.DUMMYFUNCTION("""COMPUTED_VALUE"""),"PEAR/水滴")</f>
        <v>PEAR/水滴</v>
      </c>
      <c r="K9" s="7"/>
      <c r="L9" s="25" t="str">
        <f>IFERROR(__xludf.DUMMYFUNCTION("""COMPUTED_VALUE"""),"PR/公主方")</f>
        <v>PR/公主方</v>
      </c>
      <c r="O9" s="7"/>
      <c r="P9" s="25" t="str">
        <f>IFERROR(__xludf.DUMMYFUNCTION("""COMPUTED_VALUE"""),"BUG/长方")</f>
        <v>BUG/长方</v>
      </c>
    </row>
    <row r="10">
      <c r="A10" s="45"/>
      <c r="B10" s="46" t="str">
        <f>IFERROR(__xludf.DUMMYFUNCTION("""COMPUTED_VALUE"""),"0000-000")</f>
        <v>0000-000</v>
      </c>
      <c r="C10" s="47">
        <f>IFERROR(__xludf.DUMMYFUNCTION("""COMPUTED_VALUE"""),0.003)</f>
        <v>0.003</v>
      </c>
      <c r="D10" s="47" t="str">
        <f>IFERROR(__xludf.DUMMYFUNCTION("""COMPUTED_VALUE"""),"0.80-0.90mm")</f>
        <v>0.80-0.90mm</v>
      </c>
      <c r="E10" s="49">
        <f>IFERROR(__xludf.DUMMYFUNCTION("""COMPUTED_VALUE"""),13804.347826086956)</f>
        <v>13804.34783</v>
      </c>
      <c r="F10" s="50">
        <f>IFERROR(__xludf.DUMMYFUNCTION("""COMPUTED_VALUE"""),18878.260869565216)</f>
        <v>18878.26087</v>
      </c>
      <c r="G10" s="7"/>
      <c r="H10" s="51" t="str">
        <f>IFERROR(__xludf.DUMMYFUNCTION("""COMPUTED_VALUE"""),"MM SIZE W/L")</f>
        <v>MM SIZE W/L</v>
      </c>
      <c r="I10" s="53" t="str">
        <f>IFERROR(__xludf.DUMMYFUNCTION("""COMPUTED_VALUE"""),"PTS")</f>
        <v>PTS</v>
      </c>
      <c r="J10" s="54" t="str">
        <f>IFERROR(__xludf.DUMMYFUNCTION("""COMPUTED_VALUE"""),"INR/Ct.")</f>
        <v>INR/Ct.</v>
      </c>
      <c r="K10" s="7"/>
      <c r="L10" s="55" t="str">
        <f>IFERROR(__xludf.DUMMYFUNCTION("""COMPUTED_VALUE"""),"MM SIZE W/L")</f>
        <v>MM SIZE W/L</v>
      </c>
      <c r="M10" s="53" t="str">
        <f>IFERROR(__xludf.DUMMYFUNCTION("""COMPUTED_VALUE"""),"PTS")</f>
        <v>PTS</v>
      </c>
      <c r="N10" s="54" t="str">
        <f>IFERROR(__xludf.DUMMYFUNCTION("""COMPUTED_VALUE"""),"INR/Ct.")</f>
        <v>INR/Ct.</v>
      </c>
      <c r="O10" s="7"/>
      <c r="P10" s="51" t="str">
        <f>IFERROR(__xludf.DUMMYFUNCTION("""COMPUTED_VALUE"""),"MM SIZE W/L")</f>
        <v>MM SIZE W/L</v>
      </c>
      <c r="Q10" s="53" t="str">
        <f>IFERROR(__xludf.DUMMYFUNCTION("""COMPUTED_VALUE"""),"PTS")</f>
        <v>PTS</v>
      </c>
      <c r="R10" s="54" t="str">
        <f>IFERROR(__xludf.DUMMYFUNCTION("""COMPUTED_VALUE"""),"INR/Ct.")</f>
        <v>INR/Ct.</v>
      </c>
    </row>
    <row r="11">
      <c r="A11" s="45"/>
      <c r="B11" s="46" t="str">
        <f>IFERROR(__xludf.DUMMYFUNCTION("""COMPUTED_VALUE"""),"000-00")</f>
        <v>000-00</v>
      </c>
      <c r="C11" s="47">
        <f>IFERROR(__xludf.DUMMYFUNCTION("""COMPUTED_VALUE"""),0.004)</f>
        <v>0.004</v>
      </c>
      <c r="D11" s="47" t="str">
        <f>IFERROR(__xludf.DUMMYFUNCTION("""COMPUTED_VALUE"""),"0.90-1.00mm")</f>
        <v>0.90-1.00mm</v>
      </c>
      <c r="E11" s="49">
        <f>IFERROR(__xludf.DUMMYFUNCTION("""COMPUTED_VALUE"""),10869.565217391304)</f>
        <v>10869.56522</v>
      </c>
      <c r="F11" s="50">
        <f>IFERROR(__xludf.DUMMYFUNCTION("""COMPUTED_VALUE"""),14302.173913043478)</f>
        <v>14302.17391</v>
      </c>
      <c r="G11" s="7"/>
      <c r="H11" s="58" t="str">
        <f>IFERROR(__xludf.DUMMYFUNCTION("""COMPUTED_VALUE"""),"1.50*2.50")</f>
        <v>1.50*2.50</v>
      </c>
      <c r="I11" s="46" t="str">
        <f>IFERROR(__xludf.DUMMYFUNCTION("""COMPUTED_VALUE"""),"2 pt")</f>
        <v>2 pt</v>
      </c>
      <c r="J11" s="59">
        <f>IFERROR(__xludf.DUMMYFUNCTION("""COMPUTED_VALUE"""),12934.782608695652)</f>
        <v>12934.78261</v>
      </c>
      <c r="K11" s="7"/>
      <c r="L11" s="60" t="str">
        <f>IFERROR(__xludf.DUMMYFUNCTION("""COMPUTED_VALUE"""),"1.50*1.50")</f>
        <v>1.50*1.50</v>
      </c>
      <c r="M11" s="61" t="str">
        <f>IFERROR(__xludf.DUMMYFUNCTION("""COMPUTED_VALUE"""),"2 pt")</f>
        <v>2 pt</v>
      </c>
      <c r="N11" s="59">
        <f>IFERROR(__xludf.DUMMYFUNCTION("""COMPUTED_VALUE"""),9347.826086956522)</f>
        <v>9347.826087</v>
      </c>
      <c r="O11" s="7"/>
      <c r="P11" s="58" t="str">
        <f>IFERROR(__xludf.DUMMYFUNCTION("""COMPUTED_VALUE"""),"1.00*2.00")</f>
        <v>1.00*2.00</v>
      </c>
      <c r="Q11" s="46">
        <f>IFERROR(__xludf.DUMMYFUNCTION("""COMPUTED_VALUE"""),0.013)</f>
        <v>0.013</v>
      </c>
      <c r="R11" s="59">
        <f>IFERROR(__xludf.DUMMYFUNCTION("""COMPUTED_VALUE"""),8043.478260869565)</f>
        <v>8043.478261</v>
      </c>
    </row>
    <row r="12">
      <c r="A12" s="45"/>
      <c r="B12" s="46" t="str">
        <f>IFERROR(__xludf.DUMMYFUNCTION("""COMPUTED_VALUE"""),"00-0")</f>
        <v>00-0</v>
      </c>
      <c r="C12" s="47">
        <f>IFERROR(__xludf.DUMMYFUNCTION("""COMPUTED_VALUE"""),0.005)</f>
        <v>0.005</v>
      </c>
      <c r="D12" s="47" t="str">
        <f>IFERROR(__xludf.DUMMYFUNCTION("""COMPUTED_VALUE"""),"1.00-1.10mm")</f>
        <v>1.00-1.10mm</v>
      </c>
      <c r="E12" s="49">
        <f>IFERROR(__xludf.DUMMYFUNCTION("""COMPUTED_VALUE"""),9130.434782608696)</f>
        <v>9130.434783</v>
      </c>
      <c r="F12" s="50">
        <f>IFERROR(__xludf.DUMMYFUNCTION("""COMPUTED_VALUE"""),11441.304347826086)</f>
        <v>11441.30435</v>
      </c>
      <c r="G12" s="7"/>
      <c r="H12" s="58" t="str">
        <f>IFERROR(__xludf.DUMMYFUNCTION("""COMPUTED_VALUE"""),"1.80*2.80")</f>
        <v>1.80*2.80</v>
      </c>
      <c r="I12" s="46" t="str">
        <f>IFERROR(__xludf.DUMMYFUNCTION("""COMPUTED_VALUE"""),"3 pt")</f>
        <v>3 pt</v>
      </c>
      <c r="J12" s="59">
        <f>IFERROR(__xludf.DUMMYFUNCTION("""COMPUTED_VALUE"""),10543.478260869564)</f>
        <v>10543.47826</v>
      </c>
      <c r="K12" s="7"/>
      <c r="L12" s="60" t="str">
        <f>IFERROR(__xludf.DUMMYFUNCTION("""COMPUTED_VALUE"""),"1.80*1.80")</f>
        <v>1.80*1.80</v>
      </c>
      <c r="M12" s="61" t="str">
        <f>IFERROR(__xludf.DUMMYFUNCTION("""COMPUTED_VALUE"""),"4 pt")</f>
        <v>4 pt</v>
      </c>
      <c r="N12" s="59">
        <f>IFERROR(__xludf.DUMMYFUNCTION("""COMPUTED_VALUE"""),8695.652173913044)</f>
        <v>8695.652174</v>
      </c>
      <c r="O12" s="7"/>
      <c r="P12" s="58" t="str">
        <f>IFERROR(__xludf.DUMMYFUNCTION("""COMPUTED_VALUE"""),"1.50*2.00")</f>
        <v>1.50*2.00</v>
      </c>
      <c r="Q12" s="46" t="str">
        <f>IFERROR(__xludf.DUMMYFUNCTION("""COMPUTED_VALUE"""),"3 pt")</f>
        <v>3 pt</v>
      </c>
      <c r="R12" s="59">
        <f>IFERROR(__xludf.DUMMYFUNCTION("""COMPUTED_VALUE"""),7717.391304347826)</f>
        <v>7717.391304</v>
      </c>
    </row>
    <row r="13">
      <c r="A13" s="45"/>
      <c r="B13" s="46" t="str">
        <f>IFERROR(__xludf.DUMMYFUNCTION("""COMPUTED_VALUE"""),"0-1")</f>
        <v>0-1</v>
      </c>
      <c r="C13" s="47">
        <f>IFERROR(__xludf.DUMMYFUNCTION("""COMPUTED_VALUE"""),0.006)</f>
        <v>0.006</v>
      </c>
      <c r="D13" s="47" t="str">
        <f>IFERROR(__xludf.DUMMYFUNCTION("""COMPUTED_VALUE"""),"1.10-1.15mm")</f>
        <v>1.10-1.15mm</v>
      </c>
      <c r="E13" s="49">
        <f>IFERROR(__xludf.DUMMYFUNCTION("""COMPUTED_VALUE"""),8369.565217391304)</f>
        <v>8369.565217</v>
      </c>
      <c r="F13" s="50">
        <f>IFERROR(__xludf.DUMMYFUNCTION("""COMPUTED_VALUE"""),10297.826086956522)</f>
        <v>10297.82609</v>
      </c>
      <c r="G13" s="7"/>
      <c r="H13" s="58" t="str">
        <f>IFERROR(__xludf.DUMMYFUNCTION("""COMPUTED_VALUE"""),"2.00*3.00")</f>
        <v>2.00*3.00</v>
      </c>
      <c r="I13" s="46" t="str">
        <f>IFERROR(__xludf.DUMMYFUNCTION("""COMPUTED_VALUE"""),"5 pt")</f>
        <v>5 pt</v>
      </c>
      <c r="J13" s="59">
        <f>IFERROR(__xludf.DUMMYFUNCTION("""COMPUTED_VALUE"""),7500.0)</f>
        <v>7500</v>
      </c>
      <c r="K13" s="7"/>
      <c r="L13" s="60" t="str">
        <f>IFERROR(__xludf.DUMMYFUNCTION("""COMPUTED_VALUE"""),"2.00*2.00")</f>
        <v>2.00*2.00</v>
      </c>
      <c r="M13" s="61" t="str">
        <f>IFERROR(__xludf.DUMMYFUNCTION("""COMPUTED_VALUE"""),"6 pt")</f>
        <v>6 pt</v>
      </c>
      <c r="N13" s="59">
        <f>IFERROR(__xludf.DUMMYFUNCTION("""COMPUTED_VALUE"""),6304.347826086956)</f>
        <v>6304.347826</v>
      </c>
      <c r="O13" s="7"/>
      <c r="P13" s="60" t="str">
        <f>IFERROR(__xludf.DUMMYFUNCTION("""COMPUTED_VALUE"""),"1.50*2.50")</f>
        <v>1.50*2.50</v>
      </c>
      <c r="Q13" s="46" t="str">
        <f>IFERROR(__xludf.DUMMYFUNCTION("""COMPUTED_VALUE"""),"4 pt")</f>
        <v>4 pt</v>
      </c>
      <c r="R13" s="59">
        <f>IFERROR(__xludf.DUMMYFUNCTION("""COMPUTED_VALUE"""),5869.565217391304)</f>
        <v>5869.565217</v>
      </c>
    </row>
    <row r="14">
      <c r="A14" s="45"/>
      <c r="B14" s="46" t="str">
        <f>IFERROR(__xludf.DUMMYFUNCTION("""COMPUTED_VALUE"""),"1-1.5")</f>
        <v>1-1.5</v>
      </c>
      <c r="C14" s="47">
        <f>IFERROR(__xludf.DUMMYFUNCTION("""COMPUTED_VALUE"""),0.007)</f>
        <v>0.007</v>
      </c>
      <c r="D14" s="47" t="str">
        <f>IFERROR(__xludf.DUMMYFUNCTION("""COMPUTED_VALUE"""),"1.15-1.20mm")</f>
        <v>1.15-1.20mm</v>
      </c>
      <c r="E14" s="49">
        <f>IFERROR(__xludf.DUMMYFUNCTION("""COMPUTED_VALUE"""),6630.434782608695)</f>
        <v>6630.434783</v>
      </c>
      <c r="F14" s="50">
        <f>IFERROR(__xludf.DUMMYFUNCTION("""COMPUTED_VALUE"""),8581.521739130434)</f>
        <v>8581.521739</v>
      </c>
      <c r="G14" s="7"/>
      <c r="H14" s="58" t="str">
        <f>IFERROR(__xludf.DUMMYFUNCTION("""COMPUTED_VALUE"""),"2.20*3.20")</f>
        <v>2.20*3.20</v>
      </c>
      <c r="I14" s="46" t="str">
        <f>IFERROR(__xludf.DUMMYFUNCTION("""COMPUTED_VALUE"""),"6 pt")</f>
        <v>6 pt</v>
      </c>
      <c r="J14" s="59">
        <f>IFERROR(__xludf.DUMMYFUNCTION("""COMPUTED_VALUE"""),7500.0)</f>
        <v>7500</v>
      </c>
      <c r="K14" s="7"/>
      <c r="L14" s="60" t="str">
        <f>IFERROR(__xludf.DUMMYFUNCTION("""COMPUTED_VALUE"""),"2.50*2.50")</f>
        <v>2.50*2.50</v>
      </c>
      <c r="M14" s="61" t="str">
        <f>IFERROR(__xludf.DUMMYFUNCTION("""COMPUTED_VALUE"""),"10 pt")</f>
        <v>10 pt</v>
      </c>
      <c r="N14" s="59">
        <f>IFERROR(__xludf.DUMMYFUNCTION("""COMPUTED_VALUE"""),5978.260869565217)</f>
        <v>5978.26087</v>
      </c>
      <c r="O14" s="7"/>
      <c r="P14" s="60" t="str">
        <f>IFERROR(__xludf.DUMMYFUNCTION("""COMPUTED_VALUE"""),"1.50*3.00")</f>
        <v>1.50*3.00</v>
      </c>
      <c r="Q14" s="46" t="str">
        <f>IFERROR(__xludf.DUMMYFUNCTION("""COMPUTED_VALUE"""),"5 pt")</f>
        <v>5 pt</v>
      </c>
      <c r="R14" s="59">
        <f>IFERROR(__xludf.DUMMYFUNCTION("""COMPUTED_VALUE"""),5869.565217391304)</f>
        <v>5869.565217</v>
      </c>
    </row>
    <row r="15">
      <c r="A15" s="62"/>
      <c r="B15" s="63" t="str">
        <f>IFERROR(__xludf.DUMMYFUNCTION("""COMPUTED_VALUE"""),"1.5-2")</f>
        <v>1.5-2</v>
      </c>
      <c r="C15" s="64">
        <f>IFERROR(__xludf.DUMMYFUNCTION("""COMPUTED_VALUE"""),0.008)</f>
        <v>0.008</v>
      </c>
      <c r="D15" s="64" t="str">
        <f>IFERROR(__xludf.DUMMYFUNCTION("""COMPUTED_VALUE"""),"1.20-1.25mm")</f>
        <v>1.20-1.25mm</v>
      </c>
      <c r="E15" s="66">
        <f>IFERROR(__xludf.DUMMYFUNCTION("""COMPUTED_VALUE"""),8043.478260869565)</f>
        <v>8043.478261</v>
      </c>
      <c r="F15" s="68">
        <f>IFERROR(__xludf.DUMMYFUNCTION("""COMPUTED_VALUE"""),9261.95652173913)</f>
        <v>9261.956522</v>
      </c>
      <c r="G15" s="7"/>
      <c r="H15" s="58" t="str">
        <f>IFERROR(__xludf.DUMMYFUNCTION("""COMPUTED_VALUE"""),"2.00*3.50")</f>
        <v>2.00*3.50</v>
      </c>
      <c r="I15" s="46" t="str">
        <f>IFERROR(__xludf.DUMMYFUNCTION("""COMPUTED_VALUE"""),"6 pt")</f>
        <v>6 pt</v>
      </c>
      <c r="J15" s="59">
        <f>IFERROR(__xludf.DUMMYFUNCTION("""COMPUTED_VALUE"""),6630.434782608695)</f>
        <v>6630.434783</v>
      </c>
      <c r="K15" s="7"/>
      <c r="L15" s="60" t="str">
        <f>IFERROR(__xludf.DUMMYFUNCTION("""COMPUTED_VALUE"""),"2.80*2.80")</f>
        <v>2.80*2.80</v>
      </c>
      <c r="M15" s="61" t="str">
        <f>IFERROR(__xludf.DUMMYFUNCTION("""COMPUTED_VALUE"""),"15 pt")</f>
        <v>15 pt</v>
      </c>
      <c r="N15" s="59">
        <f>IFERROR(__xludf.DUMMYFUNCTION("""COMPUTED_VALUE"""),5000.0)</f>
        <v>5000</v>
      </c>
      <c r="O15" s="7"/>
      <c r="P15" s="58" t="str">
        <f>IFERROR(__xludf.DUMMYFUNCTION("""COMPUTED_VALUE"""),"1.50*3.50")</f>
        <v>1.50*3.50</v>
      </c>
      <c r="Q15" s="46" t="str">
        <f>IFERROR(__xludf.DUMMYFUNCTION("""COMPUTED_VALUE"""),"6  pt")</f>
        <v>6  pt</v>
      </c>
      <c r="R15" s="59">
        <f>IFERROR(__xludf.DUMMYFUNCTION("""COMPUTED_VALUE"""),6847.826086956521)</f>
        <v>6847.826087</v>
      </c>
    </row>
    <row r="16">
      <c r="A16" s="36" t="str">
        <f>IFERROR(__xludf.DUMMYFUNCTION("""COMPUTED_VALUE"""),"(2-6.5)")</f>
        <v>(2-6.5)</v>
      </c>
      <c r="B16" s="37" t="str">
        <f>IFERROR(__xludf.DUMMYFUNCTION("""COMPUTED_VALUE"""),"2-2.5")</f>
        <v>2-2.5</v>
      </c>
      <c r="C16" s="70">
        <f>IFERROR(__xludf.DUMMYFUNCTION("""COMPUTED_VALUE"""),0.01)</f>
        <v>0.01</v>
      </c>
      <c r="D16" s="72" t="str">
        <f>IFERROR(__xludf.DUMMYFUNCTION("""COMPUTED_VALUE"""),"1.25-1.30mm")</f>
        <v>1.25-1.30mm</v>
      </c>
      <c r="E16" s="74">
        <f>IFERROR(__xludf.DUMMYFUNCTION("""COMPUTED_VALUE"""),5978.260869565217)</f>
        <v>5978.26087</v>
      </c>
      <c r="F16" s="42">
        <f>IFERROR(__xludf.DUMMYFUNCTION("""COMPUTED_VALUE"""),8238.04347826087)</f>
        <v>8238.043478</v>
      </c>
      <c r="G16" s="7"/>
      <c r="H16" s="58" t="str">
        <f>IFERROR(__xludf.DUMMYFUNCTION("""COMPUTED_VALUE"""),"2.50*3.50")</f>
        <v>2.50*3.50</v>
      </c>
      <c r="I16" s="46" t="str">
        <f>IFERROR(__xludf.DUMMYFUNCTION("""COMPUTED_VALUE"""),"8 pt")</f>
        <v>8 pt</v>
      </c>
      <c r="J16" s="59">
        <f>IFERROR(__xludf.DUMMYFUNCTION("""COMPUTED_VALUE"""),5869.565217391304)</f>
        <v>5869.565217</v>
      </c>
      <c r="K16" s="7"/>
      <c r="L16" s="60" t="str">
        <f>IFERROR(__xludf.DUMMYFUNCTION("""COMPUTED_VALUE"""),"3.05*3.05")</f>
        <v>3.05*3.05</v>
      </c>
      <c r="M16" s="61" t="str">
        <f>IFERROR(__xludf.DUMMYFUNCTION("""COMPUTED_VALUE"""),"20 pt")</f>
        <v>20 pt</v>
      </c>
      <c r="N16" s="59">
        <f>IFERROR(__xludf.DUMMYFUNCTION("""COMPUTED_VALUE"""),6630.434782608695)</f>
        <v>6630.434783</v>
      </c>
      <c r="O16" s="7"/>
      <c r="P16" s="60" t="str">
        <f>IFERROR(__xludf.DUMMYFUNCTION("""COMPUTED_VALUE"""),"2.00*3.00")</f>
        <v>2.00*3.00</v>
      </c>
      <c r="Q16" s="46" t="str">
        <f>IFERROR(__xludf.DUMMYFUNCTION("""COMPUTED_VALUE"""),"9 pt")</f>
        <v>9 pt</v>
      </c>
      <c r="R16" s="59">
        <f>IFERROR(__xludf.DUMMYFUNCTION("""COMPUTED_VALUE"""),6630.434782608695)</f>
        <v>6630.434783</v>
      </c>
    </row>
    <row r="17">
      <c r="A17" s="45"/>
      <c r="B17" s="46" t="str">
        <f>IFERROR(__xludf.DUMMYFUNCTION("""COMPUTED_VALUE"""),"2.5-3")</f>
        <v>2.5-3</v>
      </c>
      <c r="C17" s="76"/>
      <c r="D17" s="77" t="str">
        <f>IFERROR(__xludf.DUMMYFUNCTION("""COMPUTED_VALUE"""),"1.20-1.35mm")</f>
        <v>1.20-1.35mm</v>
      </c>
      <c r="E17" s="78">
        <f>IFERROR(__xludf.DUMMYFUNCTION("""COMPUTED_VALUE"""),5978.260869565217)</f>
        <v>5978.26087</v>
      </c>
      <c r="F17" s="50">
        <f>IFERROR(__xludf.DUMMYFUNCTION("""COMPUTED_VALUE"""),6865.217391304347)</f>
        <v>6865.217391</v>
      </c>
      <c r="G17" s="7"/>
      <c r="H17" s="58" t="str">
        <f>IFERROR(__xludf.DUMMYFUNCTION("""COMPUTED_VALUE"""),"2.50*4.00")</f>
        <v>2.50*4.00</v>
      </c>
      <c r="I17" s="46" t="str">
        <f>IFERROR(__xludf.DUMMYFUNCTION("""COMPUTED_VALUE"""),"10 pt")</f>
        <v>10 pt</v>
      </c>
      <c r="J17" s="59">
        <f>IFERROR(__xludf.DUMMYFUNCTION("""COMPUTED_VALUE"""),5652.173913043478)</f>
        <v>5652.173913</v>
      </c>
      <c r="K17" s="7"/>
      <c r="L17" s="60" t="str">
        <f>IFERROR(__xludf.DUMMYFUNCTION("""COMPUTED_VALUE"""),"3.15*3.15")</f>
        <v>3.15*3.15</v>
      </c>
      <c r="M17" s="61" t="str">
        <f>IFERROR(__xludf.DUMMYFUNCTION("""COMPUTED_VALUE"""),"21 pt")</f>
        <v>21 pt</v>
      </c>
      <c r="N17" s="59">
        <f>IFERROR(__xludf.DUMMYFUNCTION("""COMPUTED_VALUE"""),6630.434782608695)</f>
        <v>6630.434783</v>
      </c>
      <c r="O17" s="7"/>
      <c r="P17" s="60" t="str">
        <f>IFERROR(__xludf.DUMMYFUNCTION("""COMPUTED_VALUE"""),"2.00*3.50")</f>
        <v>2.00*3.50</v>
      </c>
      <c r="Q17" s="46" t="str">
        <f>IFERROR(__xludf.DUMMYFUNCTION("""COMPUTED_VALUE"""),"10 pt")</f>
        <v>10 pt</v>
      </c>
      <c r="R17" s="59">
        <f>IFERROR(__xludf.DUMMYFUNCTION("""COMPUTED_VALUE"""),6630.434782608695)</f>
        <v>6630.434783</v>
      </c>
    </row>
    <row r="18">
      <c r="A18" s="45"/>
      <c r="B18" s="46" t="str">
        <f>IFERROR(__xludf.DUMMYFUNCTION("""COMPUTED_VALUE"""),"3-3.5")</f>
        <v>3-3.5</v>
      </c>
      <c r="C18" s="82">
        <f>IFERROR(__xludf.DUMMYFUNCTION("""COMPUTED_VALUE"""),0.012)</f>
        <v>0.012</v>
      </c>
      <c r="D18" s="72" t="str">
        <f>IFERROR(__xludf.DUMMYFUNCTION("""COMPUTED_VALUE"""),"1.35-1.40mm")</f>
        <v>1.35-1.40mm</v>
      </c>
      <c r="E18" s="83">
        <f>IFERROR(__xludf.DUMMYFUNCTION("""COMPUTED_VALUE"""),4347.826086956522)</f>
        <v>4347.826087</v>
      </c>
      <c r="F18" s="50">
        <f>IFERROR(__xludf.DUMMYFUNCTION("""COMPUTED_VALUE"""),5720.652173913043)</f>
        <v>5720.652174</v>
      </c>
      <c r="G18" s="7"/>
      <c r="H18" s="58" t="str">
        <f>IFERROR(__xludf.DUMMYFUNCTION("""COMPUTED_VALUE"""),"3.00*4.00")</f>
        <v>3.00*4.00</v>
      </c>
      <c r="I18" s="46" t="str">
        <f>IFERROR(__xludf.DUMMYFUNCTION("""COMPUTED_VALUE"""),"14 pt")</f>
        <v>14 pt</v>
      </c>
      <c r="J18" s="59">
        <f>IFERROR(__xludf.DUMMYFUNCTION("""COMPUTED_VALUE"""),6195.652173913043)</f>
        <v>6195.652174</v>
      </c>
      <c r="K18" s="7"/>
      <c r="L18" s="60" t="str">
        <f>IFERROR(__xludf.DUMMYFUNCTION("""COMPUTED_VALUE"""),"3.30*3.30")</f>
        <v>3.30*3.30</v>
      </c>
      <c r="M18" s="61" t="str">
        <f>IFERROR(__xludf.DUMMYFUNCTION("""COMPUTED_VALUE"""),"25 pt")</f>
        <v>25 pt</v>
      </c>
      <c r="N18" s="59">
        <f>IFERROR(__xludf.DUMMYFUNCTION("""COMPUTED_VALUE"""),6630.434782608695)</f>
        <v>6630.434783</v>
      </c>
      <c r="O18" s="7"/>
      <c r="P18" s="60" t="str">
        <f>IFERROR(__xludf.DUMMYFUNCTION("""COMPUTED_VALUE"""),"2.00*4.00")</f>
        <v>2.00*4.00</v>
      </c>
      <c r="Q18" s="46" t="str">
        <f>IFERROR(__xludf.DUMMYFUNCTION("""COMPUTED_VALUE"""),"11 pt")</f>
        <v>11 pt</v>
      </c>
      <c r="R18" s="59">
        <f>IFERROR(__xludf.DUMMYFUNCTION("""COMPUTED_VALUE"""),6630.434782608695)</f>
        <v>6630.434783</v>
      </c>
    </row>
    <row r="19">
      <c r="A19" s="45"/>
      <c r="B19" s="46" t="str">
        <f>IFERROR(__xludf.DUMMYFUNCTION("""COMPUTED_VALUE"""),"3.5-4")</f>
        <v>3.5-4</v>
      </c>
      <c r="C19" s="76"/>
      <c r="D19" s="77" t="str">
        <f>IFERROR(__xludf.DUMMYFUNCTION("""COMPUTED_VALUE"""),"1.40-1.45mm")</f>
        <v>1.40-1.45mm</v>
      </c>
      <c r="E19" s="78">
        <f>IFERROR(__xludf.DUMMYFUNCTION("""COMPUTED_VALUE"""),4347.826086956522)</f>
        <v>4347.826087</v>
      </c>
      <c r="F19" s="50">
        <f>IFERROR(__xludf.DUMMYFUNCTION("""COMPUTED_VALUE"""),5720.652173913043)</f>
        <v>5720.652174</v>
      </c>
      <c r="G19" s="7"/>
      <c r="H19" s="58" t="str">
        <f>IFERROR(__xludf.DUMMYFUNCTION("""COMPUTED_VALUE"""),"3.00*4.50")</f>
        <v>3.00*4.50</v>
      </c>
      <c r="I19" s="46" t="str">
        <f>IFERROR(__xludf.DUMMYFUNCTION("""COMPUTED_VALUE"""),"15 pt")</f>
        <v>15 pt</v>
      </c>
      <c r="J19" s="59">
        <f>IFERROR(__xludf.DUMMYFUNCTION("""COMPUTED_VALUE"""),6195.652173913043)</f>
        <v>6195.652174</v>
      </c>
      <c r="K19" s="7"/>
      <c r="L19" s="60" t="str">
        <f>IFERROR(__xludf.DUMMYFUNCTION("""COMPUTED_VALUE"""),"3.55*3.55")</f>
        <v>3.55*3.55</v>
      </c>
      <c r="M19" s="61" t="str">
        <f>IFERROR(__xludf.DUMMYFUNCTION("""COMPUTED_VALUE"""),"30 pt")</f>
        <v>30 pt</v>
      </c>
      <c r="N19" s="59">
        <f>IFERROR(__xludf.DUMMYFUNCTION("""COMPUTED_VALUE"""),7065.217391304347)</f>
        <v>7065.217391</v>
      </c>
      <c r="O19" s="7"/>
      <c r="P19" s="60" t="str">
        <f>IFERROR(__xludf.DUMMYFUNCTION("""COMPUTED_VALUE"""),"2.00*4.50")</f>
        <v>2.00*4.50</v>
      </c>
      <c r="Q19" s="46" t="str">
        <f>IFERROR(__xludf.DUMMYFUNCTION("""COMPUTED_VALUE"""),"12 pt")</f>
        <v>12 pt</v>
      </c>
      <c r="R19" s="59">
        <f>IFERROR(__xludf.DUMMYFUNCTION("""COMPUTED_VALUE"""),6630.434782608695)</f>
        <v>6630.434783</v>
      </c>
    </row>
    <row r="20">
      <c r="A20" s="45"/>
      <c r="B20" s="46" t="str">
        <f>IFERROR(__xludf.DUMMYFUNCTION("""COMPUTED_VALUE"""),"4-4.5")</f>
        <v>4-4.5</v>
      </c>
      <c r="C20" s="82">
        <f>IFERROR(__xludf.DUMMYFUNCTION("""COMPUTED_VALUE"""),0.015)</f>
        <v>0.015</v>
      </c>
      <c r="D20" s="72" t="str">
        <f>IFERROR(__xludf.DUMMYFUNCTION("""COMPUTED_VALUE"""),"1.45-1.55mm")</f>
        <v>1.45-1.55mm</v>
      </c>
      <c r="E20" s="83">
        <f>IFERROR(__xludf.DUMMYFUNCTION("""COMPUTED_VALUE"""),5869.565217391304)</f>
        <v>5869.565217</v>
      </c>
      <c r="F20" s="50">
        <f>IFERROR(__xludf.DUMMYFUNCTION("""COMPUTED_VALUE"""),7436.95652173913)</f>
        <v>7436.956522</v>
      </c>
      <c r="G20" s="7"/>
      <c r="H20" s="58" t="str">
        <f>IFERROR(__xludf.DUMMYFUNCTION("""COMPUTED_VALUE"""),"3.00*5.00")</f>
        <v>3.00*5.00</v>
      </c>
      <c r="I20" s="46" t="str">
        <f>IFERROR(__xludf.DUMMYFUNCTION("""COMPUTED_VALUE"""),"17 pt")</f>
        <v>17 pt</v>
      </c>
      <c r="J20" s="59">
        <f>IFERROR(__xludf.DUMMYFUNCTION("""COMPUTED_VALUE"""),6521.739130434782)</f>
        <v>6521.73913</v>
      </c>
      <c r="K20" s="7"/>
      <c r="L20" s="60" t="str">
        <f>IFERROR(__xludf.DUMMYFUNCTION("""COMPUTED_VALUE"""),"3.75*3.75")</f>
        <v>3.75*3.75</v>
      </c>
      <c r="M20" s="61" t="str">
        <f>IFERROR(__xludf.DUMMYFUNCTION("""COMPUTED_VALUE"""),"35 pt")</f>
        <v>35 pt</v>
      </c>
      <c r="N20" s="59">
        <f>IFERROR(__xludf.DUMMYFUNCTION("""COMPUTED_VALUE"""),6630.434782608695)</f>
        <v>6630.434783</v>
      </c>
      <c r="O20" s="7"/>
      <c r="P20" s="60" t="str">
        <f>IFERROR(__xludf.DUMMYFUNCTION("""COMPUTED_VALUE"""),"2.50*3.00")</f>
        <v>2.50*3.00</v>
      </c>
      <c r="Q20" s="46" t="str">
        <f>IFERROR(__xludf.DUMMYFUNCTION("""COMPUTED_VALUE"""),"13 pt")</f>
        <v>13 pt</v>
      </c>
      <c r="R20" s="59">
        <f>IFERROR(__xludf.DUMMYFUNCTION("""COMPUTED_VALUE"""),7065.217391304347)</f>
        <v>7065.217391</v>
      </c>
    </row>
    <row r="21">
      <c r="A21" s="45"/>
      <c r="B21" s="46" t="str">
        <f>IFERROR(__xludf.DUMMYFUNCTION("""COMPUTED_VALUE"""),"4.5-5")</f>
        <v>4.5-5</v>
      </c>
      <c r="C21" s="76"/>
      <c r="D21" s="77" t="str">
        <f>IFERROR(__xludf.DUMMYFUNCTION("""COMPUTED_VALUE"""),"1.50-1.55mm")</f>
        <v>1.50-1.55mm</v>
      </c>
      <c r="E21" s="78">
        <f>IFERROR(__xludf.DUMMYFUNCTION("""COMPUTED_VALUE"""),5869.565217391304)</f>
        <v>5869.565217</v>
      </c>
      <c r="F21" s="50">
        <f>IFERROR(__xludf.DUMMYFUNCTION("""COMPUTED_VALUE"""),7436.95652173913)</f>
        <v>7436.956522</v>
      </c>
      <c r="G21" s="7"/>
      <c r="H21" s="58" t="str">
        <f>IFERROR(__xludf.DUMMYFUNCTION("""COMPUTED_VALUE"""),"3.30*5.00")</f>
        <v>3.30*5.00</v>
      </c>
      <c r="I21" s="46" t="str">
        <f>IFERROR(__xludf.DUMMYFUNCTION("""COMPUTED_VALUE"""),"20 pt")</f>
        <v>20 pt</v>
      </c>
      <c r="J21" s="59">
        <f>IFERROR(__xludf.DUMMYFUNCTION("""COMPUTED_VALUE"""),6195.652173913043)</f>
        <v>6195.652174</v>
      </c>
      <c r="K21" s="7"/>
      <c r="L21" s="60" t="str">
        <f>IFERROR(__xludf.DUMMYFUNCTION("""COMPUTED_VALUE"""),"4.05*4.05")</f>
        <v>4.05*4.05</v>
      </c>
      <c r="M21" s="61" t="str">
        <f>IFERROR(__xludf.DUMMYFUNCTION("""COMPUTED_VALUE"""),"45 pt")</f>
        <v>45 pt</v>
      </c>
      <c r="N21" s="59">
        <f>IFERROR(__xludf.DUMMYFUNCTION("""COMPUTED_VALUE"""),7173.913043478261)</f>
        <v>7173.913043</v>
      </c>
      <c r="O21" s="7"/>
      <c r="P21" s="60" t="str">
        <f>IFERROR(__xludf.DUMMYFUNCTION("""COMPUTED_VALUE"""),"2.50*4.00")</f>
        <v>2.50*4.00</v>
      </c>
      <c r="Q21" s="46" t="str">
        <f>IFERROR(__xludf.DUMMYFUNCTION("""COMPUTED_VALUE"""),"17 pt")</f>
        <v>17 pt</v>
      </c>
      <c r="R21" s="59">
        <f>IFERROR(__xludf.DUMMYFUNCTION("""COMPUTED_VALUE"""),7065.217391304347)</f>
        <v>7065.217391</v>
      </c>
    </row>
    <row r="22">
      <c r="A22" s="45"/>
      <c r="B22" s="46" t="str">
        <f>IFERROR(__xludf.DUMMYFUNCTION("""COMPUTED_VALUE"""),"5-5.5")</f>
        <v>5-5.5</v>
      </c>
      <c r="C22" s="87">
        <f>IFERROR(__xludf.DUMMYFUNCTION("""COMPUTED_VALUE"""),0.016)</f>
        <v>0.016</v>
      </c>
      <c r="D22" s="46" t="str">
        <f>IFERROR(__xludf.DUMMYFUNCTION("""COMPUTED_VALUE"""),"1.55-1.60mm")</f>
        <v>1.55-1.60mm</v>
      </c>
      <c r="E22" s="88">
        <f>IFERROR(__xludf.DUMMYFUNCTION("""COMPUTED_VALUE"""),4347.826086956522)</f>
        <v>4347.826087</v>
      </c>
      <c r="F22" s="50">
        <f>IFERROR(__xludf.DUMMYFUNCTION("""COMPUTED_VALUE"""),5720.652173913043)</f>
        <v>5720.652174</v>
      </c>
      <c r="G22" s="7"/>
      <c r="H22" s="58" t="str">
        <f>IFERROR(__xludf.DUMMYFUNCTION("""COMPUTED_VALUE"""),"3.50*5.00")</f>
        <v>3.50*5.00</v>
      </c>
      <c r="I22" s="46" t="str">
        <f>IFERROR(__xludf.DUMMYFUNCTION("""COMPUTED_VALUE"""),"25 pt")</f>
        <v>25 pt</v>
      </c>
      <c r="J22" s="59">
        <f>IFERROR(__xludf.DUMMYFUNCTION("""COMPUTED_VALUE"""),7282.608695652174)</f>
        <v>7282.608696</v>
      </c>
      <c r="K22" s="7"/>
      <c r="L22" s="60" t="str">
        <f>IFERROR(__xludf.DUMMYFUNCTION("""COMPUTED_VALUE"""),"4.25*4.25")</f>
        <v>4.25*4.25</v>
      </c>
      <c r="M22" s="61" t="str">
        <f>IFERROR(__xludf.DUMMYFUNCTION("""COMPUTED_VALUE"""),"50 pt")</f>
        <v>50 pt</v>
      </c>
      <c r="N22" s="59">
        <f>IFERROR(__xludf.DUMMYFUNCTION("""COMPUTED_VALUE"""),7500.0)</f>
        <v>7500</v>
      </c>
      <c r="O22" s="7"/>
      <c r="P22" s="60" t="str">
        <f>IFERROR(__xludf.DUMMYFUNCTION("""COMPUTED_VALUE"""),"2.50*4.50")</f>
        <v>2.50*4.50</v>
      </c>
      <c r="Q22" s="46" t="str">
        <f>IFERROR(__xludf.DUMMYFUNCTION("""COMPUTED_VALUE"""),"19 pt")</f>
        <v>19 pt</v>
      </c>
      <c r="R22" s="59">
        <f>IFERROR(__xludf.DUMMYFUNCTION("""COMPUTED_VALUE"""),7065.217391304347)</f>
        <v>7065.217391</v>
      </c>
    </row>
    <row r="23">
      <c r="A23" s="45"/>
      <c r="B23" s="46" t="str">
        <f>IFERROR(__xludf.DUMMYFUNCTION("""COMPUTED_VALUE"""),"5.5-6")</f>
        <v>5.5-6</v>
      </c>
      <c r="C23" s="82">
        <f>IFERROR(__xludf.DUMMYFUNCTION("""COMPUTED_VALUE"""),0.02)</f>
        <v>0.02</v>
      </c>
      <c r="D23" s="46" t="str">
        <f>IFERROR(__xludf.DUMMYFUNCTION("""COMPUTED_VALUE"""),"1.60-1.70mm")</f>
        <v>1.60-1.70mm</v>
      </c>
      <c r="E23" s="88">
        <f>IFERROR(__xludf.DUMMYFUNCTION("""COMPUTED_VALUE"""),4347.826086956522)</f>
        <v>4347.826087</v>
      </c>
      <c r="F23" s="50">
        <f>IFERROR(__xludf.DUMMYFUNCTION("""COMPUTED_VALUE"""),5720.652173913043)</f>
        <v>5720.652174</v>
      </c>
      <c r="G23" s="7"/>
      <c r="H23" s="58" t="str">
        <f>IFERROR(__xludf.DUMMYFUNCTION("""COMPUTED_VALUE"""),"3.50*5.50")</f>
        <v>3.50*5.50</v>
      </c>
      <c r="I23" s="46" t="str">
        <f>IFERROR(__xludf.DUMMYFUNCTION("""COMPUTED_VALUE"""),"25 pt")</f>
        <v>25 pt</v>
      </c>
      <c r="J23" s="59">
        <f>IFERROR(__xludf.DUMMYFUNCTION("""COMPUTED_VALUE"""),6195.652173913043)</f>
        <v>6195.652174</v>
      </c>
      <c r="K23" s="7"/>
      <c r="L23" s="60" t="str">
        <f>IFERROR(__xludf.DUMMYFUNCTION("""COMPUTED_VALUE"""),"4.50*4.50")</f>
        <v>4.50*4.50</v>
      </c>
      <c r="M23" s="61" t="str">
        <f>IFERROR(__xludf.DUMMYFUNCTION("""COMPUTED_VALUE"""),"60 pt")</f>
        <v>60 pt</v>
      </c>
      <c r="N23" s="59">
        <f>IFERROR(__xludf.DUMMYFUNCTION("""COMPUTED_VALUE"""),6521.739130434782)</f>
        <v>6521.73913</v>
      </c>
      <c r="O23" s="7"/>
      <c r="P23" s="60" t="str">
        <f>IFERROR(__xludf.DUMMYFUNCTION("""COMPUTED_VALUE"""),"2.50*5.00")</f>
        <v>2.50*5.00</v>
      </c>
      <c r="Q23" s="46" t="str">
        <f>IFERROR(__xludf.DUMMYFUNCTION("""COMPUTED_VALUE"""),"21 pt")</f>
        <v>21 pt</v>
      </c>
      <c r="R23" s="59">
        <f>IFERROR(__xludf.DUMMYFUNCTION("""COMPUTED_VALUE"""),7500.0)</f>
        <v>7500</v>
      </c>
    </row>
    <row r="24">
      <c r="A24" s="62"/>
      <c r="B24" s="63" t="str">
        <f>IFERROR(__xludf.DUMMYFUNCTION("""COMPUTED_VALUE"""),"6-6.5")</f>
        <v>6-6.5</v>
      </c>
      <c r="C24" s="89"/>
      <c r="D24" s="46" t="str">
        <f>IFERROR(__xludf.DUMMYFUNCTION("""COMPUTED_VALUE"""),"1.70-1.80mm")</f>
        <v>1.70-1.80mm</v>
      </c>
      <c r="E24" s="91">
        <f>IFERROR(__xludf.DUMMYFUNCTION("""COMPUTED_VALUE"""),4565.217391304348)</f>
        <v>4565.217391</v>
      </c>
      <c r="F24" s="68">
        <f>IFERROR(__xludf.DUMMYFUNCTION("""COMPUTED_VALUE"""),5720.652173913043)</f>
        <v>5720.652174</v>
      </c>
      <c r="G24" s="7"/>
      <c r="H24" s="58" t="str">
        <f>IFERROR(__xludf.DUMMYFUNCTION("""COMPUTED_VALUE"""),"3.75*5.75")</f>
        <v>3.75*5.75</v>
      </c>
      <c r="I24" s="46" t="str">
        <f>IFERROR(__xludf.DUMMYFUNCTION("""COMPUTED_VALUE"""),"30 pt")</f>
        <v>30 pt</v>
      </c>
      <c r="J24" s="59">
        <f>IFERROR(__xludf.DUMMYFUNCTION("""COMPUTED_VALUE"""),6847.826086956521)</f>
        <v>6847.826087</v>
      </c>
      <c r="K24" s="7"/>
      <c r="L24" s="60" t="str">
        <f>IFERROR(__xludf.DUMMYFUNCTION("""COMPUTED_VALUE"""),"4.70*4.70")</f>
        <v>4.70*4.70</v>
      </c>
      <c r="M24" s="61" t="str">
        <f>IFERROR(__xludf.DUMMYFUNCTION("""COMPUTED_VALUE"""),"70 pt")</f>
        <v>70 pt</v>
      </c>
      <c r="N24" s="59">
        <f>IFERROR(__xludf.DUMMYFUNCTION("""COMPUTED_VALUE"""),6521.739130434782)</f>
        <v>6521.73913</v>
      </c>
      <c r="O24" s="7"/>
      <c r="P24" s="58" t="str">
        <f>IFERROR(__xludf.DUMMYFUNCTION("""COMPUTED_VALUE"""),"3.00*5.00")</f>
        <v>3.00*5.00</v>
      </c>
      <c r="Q24" s="46" t="str">
        <f>IFERROR(__xludf.DUMMYFUNCTION("""COMPUTED_VALUE"""),"30 pt")</f>
        <v>30 pt</v>
      </c>
      <c r="R24" s="59">
        <f>IFERROR(__xludf.DUMMYFUNCTION("""COMPUTED_VALUE"""),7500.0)</f>
        <v>7500</v>
      </c>
    </row>
    <row r="25">
      <c r="A25" s="36" t="str">
        <f>IFERROR(__xludf.DUMMYFUNCTION("""COMPUTED_VALUE"""),"(6.5-11)")</f>
        <v>(6.5-11)</v>
      </c>
      <c r="B25" s="92" t="str">
        <f>IFERROR(__xludf.DUMMYFUNCTION("""COMPUTED_VALUE"""),"6.5-7")</f>
        <v>6.5-7</v>
      </c>
      <c r="C25" s="93">
        <f>IFERROR(__xludf.DUMMYFUNCTION("""COMPUTED_VALUE"""),0.025)</f>
        <v>0.025</v>
      </c>
      <c r="D25" s="93" t="str">
        <f>IFERROR(__xludf.DUMMYFUNCTION("""COMPUTED_VALUE"""),"1.80-1.90mm")</f>
        <v>1.80-1.90mm</v>
      </c>
      <c r="E25" s="94">
        <f>IFERROR(__xludf.DUMMYFUNCTION("""COMPUTED_VALUE"""),4239.130434782608)</f>
        <v>4239.130435</v>
      </c>
      <c r="F25" s="42">
        <f>IFERROR(__xludf.DUMMYFUNCTION("""COMPUTED_VALUE"""),4577.173913043478)</f>
        <v>4577.173913</v>
      </c>
      <c r="G25" s="7"/>
      <c r="H25" s="58" t="str">
        <f>IFERROR(__xludf.DUMMYFUNCTION("""COMPUTED_VALUE"""),"4.00*5.00")</f>
        <v>4.00*5.00</v>
      </c>
      <c r="I25" s="46" t="str">
        <f>IFERROR(__xludf.DUMMYFUNCTION("""COMPUTED_VALUE"""),"30 pt")</f>
        <v>30 pt</v>
      </c>
      <c r="J25" s="59">
        <f>IFERROR(__xludf.DUMMYFUNCTION("""COMPUTED_VALUE"""),6630.434782608695)</f>
        <v>6630.434783</v>
      </c>
      <c r="K25" s="7"/>
      <c r="L25" s="60" t="str">
        <f>IFERROR(__xludf.DUMMYFUNCTION("""COMPUTED_VALUE"""),"5.00*5.00")</f>
        <v>5.00*5.00</v>
      </c>
      <c r="M25" s="61" t="str">
        <f>IFERROR(__xludf.DUMMYFUNCTION("""COMPUTED_VALUE"""),"85 pt")</f>
        <v>85 pt</v>
      </c>
      <c r="N25" s="59">
        <f>IFERROR(__xludf.DUMMYFUNCTION("""COMPUTED_VALUE"""),6521.739130434782)</f>
        <v>6521.73913</v>
      </c>
      <c r="O25" s="7"/>
      <c r="P25" s="58" t="str">
        <f>IFERROR(__xludf.DUMMYFUNCTION("""COMPUTED_VALUE"""),"3.50*5.00")</f>
        <v>3.50*5.00</v>
      </c>
      <c r="Q25" s="46" t="str">
        <f>IFERROR(__xludf.DUMMYFUNCTION("""COMPUTED_VALUE"""),"44 pt")</f>
        <v>44 pt</v>
      </c>
      <c r="R25" s="59">
        <f>IFERROR(__xludf.DUMMYFUNCTION("""COMPUTED_VALUE"""),8804.347826086956)</f>
        <v>8804.347826</v>
      </c>
    </row>
    <row r="26">
      <c r="A26" s="45"/>
      <c r="B26" s="95" t="str">
        <f>IFERROR(__xludf.DUMMYFUNCTION("""COMPUTED_VALUE"""),"7-7.5")</f>
        <v>7-7.5</v>
      </c>
      <c r="C26" s="82">
        <f>IFERROR(__xludf.DUMMYFUNCTION("""COMPUTED_VALUE"""),0.03)</f>
        <v>0.03</v>
      </c>
      <c r="D26" s="87" t="str">
        <f>IFERROR(__xludf.DUMMYFUNCTION("""COMPUTED_VALUE"""),"1.90-2.00mm")</f>
        <v>1.90-2.00mm</v>
      </c>
      <c r="E26" s="88">
        <f>IFERROR(__xludf.DUMMYFUNCTION("""COMPUTED_VALUE"""),4239.130434782608)</f>
        <v>4239.130435</v>
      </c>
      <c r="F26" s="50">
        <f>IFERROR(__xludf.DUMMYFUNCTION("""COMPUTED_VALUE"""),4577.173913043478)</f>
        <v>4577.173913</v>
      </c>
      <c r="G26" s="7"/>
      <c r="H26" s="58" t="str">
        <f>IFERROR(__xludf.DUMMYFUNCTION("""COMPUTED_VALUE"""),"4.00*6.00")</f>
        <v>4.00*6.00</v>
      </c>
      <c r="I26" s="46" t="str">
        <f>IFERROR(__xludf.DUMMYFUNCTION("""COMPUTED_VALUE"""),"37 pt")</f>
        <v>37 pt</v>
      </c>
      <c r="J26" s="59">
        <f>IFERROR(__xludf.DUMMYFUNCTION("""COMPUTED_VALUE"""),6630.434782608695)</f>
        <v>6630.434783</v>
      </c>
      <c r="K26" s="7"/>
      <c r="L26" s="60" t="str">
        <f>IFERROR(__xludf.DUMMYFUNCTION("""COMPUTED_VALUE"""),"5.30*5.30")</f>
        <v>5.30*5.30</v>
      </c>
      <c r="M26" s="61" t="str">
        <f>IFERROR(__xludf.DUMMYFUNCTION("""COMPUTED_VALUE"""),"1.00 ct")</f>
        <v>1.00 ct</v>
      </c>
      <c r="N26" s="59">
        <f>IFERROR(__xludf.DUMMYFUNCTION("""COMPUTED_VALUE"""),7717.391304347826)</f>
        <v>7717.391304</v>
      </c>
      <c r="O26" s="7"/>
      <c r="P26" s="58" t="str">
        <f>IFERROR(__xludf.DUMMYFUNCTION("""COMPUTED_VALUE"""),"3.00*5.50")</f>
        <v>3.00*5.50</v>
      </c>
      <c r="Q26" s="46" t="str">
        <f>IFERROR(__xludf.DUMMYFUNCTION("""COMPUTED_VALUE"""),"36 pt")</f>
        <v>36 pt</v>
      </c>
      <c r="R26" s="59">
        <f>IFERROR(__xludf.DUMMYFUNCTION("""COMPUTED_VALUE"""),8804.347826086956)</f>
        <v>8804.347826</v>
      </c>
    </row>
    <row r="27">
      <c r="A27" s="45"/>
      <c r="B27" s="95" t="str">
        <f>IFERROR(__xludf.DUMMYFUNCTION("""COMPUTED_VALUE"""),"7.5-8")</f>
        <v>7.5-8</v>
      </c>
      <c r="C27" s="76"/>
      <c r="D27" s="87" t="str">
        <f>IFERROR(__xludf.DUMMYFUNCTION("""COMPUTED_VALUE"""),"2.00-2.10mm")</f>
        <v>2.00-2.10mm</v>
      </c>
      <c r="E27" s="88">
        <f>IFERROR(__xludf.DUMMYFUNCTION("""COMPUTED_VALUE"""),4239.130434782608)</f>
        <v>4239.130435</v>
      </c>
      <c r="F27" s="50">
        <f>IFERROR(__xludf.DUMMYFUNCTION("""COMPUTED_VALUE"""),4577.173913043478)</f>
        <v>4577.173913</v>
      </c>
      <c r="G27" s="7"/>
      <c r="H27" s="58" t="str">
        <f>IFERROR(__xludf.DUMMYFUNCTION("""COMPUTED_VALUE"""),"4.20*6.30")</f>
        <v>4.20*6.30</v>
      </c>
      <c r="I27" s="46" t="str">
        <f>IFERROR(__xludf.DUMMYFUNCTION("""COMPUTED_VALUE"""),"40 pt")</f>
        <v>40 pt</v>
      </c>
      <c r="J27" s="59">
        <f>IFERROR(__xludf.DUMMYFUNCTION("""COMPUTED_VALUE"""),6630.434782608695)</f>
        <v>6630.434783</v>
      </c>
      <c r="K27" s="7"/>
      <c r="L27" s="60" t="str">
        <f>IFERROR(__xludf.DUMMYFUNCTION("""COMPUTED_VALUE"""),"5.50*5.50")</f>
        <v>5.50*5.50</v>
      </c>
      <c r="M27" s="61" t="str">
        <f>IFERROR(__xludf.DUMMYFUNCTION("""COMPUTED_VALUE"""),"1.15 ct")</f>
        <v>1.15 ct</v>
      </c>
      <c r="N27" s="59">
        <f>IFERROR(__xludf.DUMMYFUNCTION("""COMPUTED_VALUE"""),7717.391304347826)</f>
        <v>7717.391304</v>
      </c>
      <c r="O27" s="7"/>
      <c r="P27" s="58" t="str">
        <f>IFERROR(__xludf.DUMMYFUNCTION("""COMPUTED_VALUE"""),"3.00*6.00")</f>
        <v>3.00*6.00</v>
      </c>
      <c r="Q27" s="46" t="str">
        <f>IFERROR(__xludf.DUMMYFUNCTION("""COMPUTED_VALUE"""),"39 pt")</f>
        <v>39 pt</v>
      </c>
      <c r="R27" s="59">
        <f>IFERROR(__xludf.DUMMYFUNCTION("""COMPUTED_VALUE"""),8804.347826086956)</f>
        <v>8804.347826</v>
      </c>
    </row>
    <row r="28">
      <c r="A28" s="45"/>
      <c r="B28" s="95" t="str">
        <f>IFERROR(__xludf.DUMMYFUNCTION("""COMPUTED_VALUE"""),"8-8.5")</f>
        <v>8-8.5</v>
      </c>
      <c r="C28" s="87">
        <f>IFERROR(__xludf.DUMMYFUNCTION("""COMPUTED_VALUE"""),0.039)</f>
        <v>0.039</v>
      </c>
      <c r="D28" s="87" t="str">
        <f>IFERROR(__xludf.DUMMYFUNCTION("""COMPUTED_VALUE"""),"2.10-2.20mm")</f>
        <v>2.10-2.20mm</v>
      </c>
      <c r="E28" s="88">
        <f>IFERROR(__xludf.DUMMYFUNCTION("""COMPUTED_VALUE"""),3913.0434782608695)</f>
        <v>3913.043478</v>
      </c>
      <c r="F28" s="50">
        <f>IFERROR(__xludf.DUMMYFUNCTION("""COMPUTED_VALUE"""),4004.3478260869565)</f>
        <v>4004.347826</v>
      </c>
      <c r="G28" s="7"/>
      <c r="H28" s="58" t="str">
        <f>IFERROR(__xludf.DUMMYFUNCTION("""COMPUTED_VALUE"""),"4.50*6.80")</f>
        <v>4.50*6.80</v>
      </c>
      <c r="I28" s="46" t="str">
        <f>IFERROR(__xludf.DUMMYFUNCTION("""COMPUTED_VALUE"""),"50 pt")</f>
        <v>50 pt</v>
      </c>
      <c r="J28" s="59">
        <f>IFERROR(__xludf.DUMMYFUNCTION("""COMPUTED_VALUE"""),6630.434782608695)</f>
        <v>6630.434783</v>
      </c>
      <c r="K28" s="7"/>
      <c r="L28" s="60" t="str">
        <f>IFERROR(__xludf.DUMMYFUNCTION("""COMPUTED_VALUE"""),"6.00*6.00")</f>
        <v>6.00*6.00</v>
      </c>
      <c r="M28" s="61" t="str">
        <f>IFERROR(__xludf.DUMMYFUNCTION("""COMPUTED_VALUE"""),"1.25 ct")</f>
        <v>1.25 ct</v>
      </c>
      <c r="N28" s="59">
        <f>IFERROR(__xludf.DUMMYFUNCTION("""COMPUTED_VALUE"""),8369.565217391304)</f>
        <v>8369.565217</v>
      </c>
      <c r="O28" s="7"/>
      <c r="P28" s="58" t="str">
        <f>IFERROR(__xludf.DUMMYFUNCTION("""COMPUTED_VALUE"""),"4.00*6.00")</f>
        <v>4.00*6.00</v>
      </c>
      <c r="Q28" s="46" t="str">
        <f>IFERROR(__xludf.DUMMYFUNCTION("""COMPUTED_VALUE"""),"70 pt")</f>
        <v>70 pt</v>
      </c>
      <c r="R28" s="59">
        <f>IFERROR(__xludf.DUMMYFUNCTION("""COMPUTED_VALUE"""),8804.347826086956)</f>
        <v>8804.347826</v>
      </c>
    </row>
    <row r="29">
      <c r="A29" s="45"/>
      <c r="B29" s="95" t="str">
        <f>IFERROR(__xludf.DUMMYFUNCTION("""COMPUTED_VALUE"""),"8.5-9")</f>
        <v>8.5-9</v>
      </c>
      <c r="C29" s="87">
        <f>IFERROR(__xludf.DUMMYFUNCTION("""COMPUTED_VALUE"""),0.044)</f>
        <v>0.044</v>
      </c>
      <c r="D29" s="87" t="str">
        <f>IFERROR(__xludf.DUMMYFUNCTION("""COMPUTED_VALUE"""),"2.20-2.30mm")</f>
        <v>2.20-2.30mm</v>
      </c>
      <c r="E29" s="88">
        <f>IFERROR(__xludf.DUMMYFUNCTION("""COMPUTED_VALUE"""),3804.3478260869565)</f>
        <v>3804.347826</v>
      </c>
      <c r="F29" s="50">
        <f>IFERROR(__xludf.DUMMYFUNCTION("""COMPUTED_VALUE"""),3776.086956521739)</f>
        <v>3776.086957</v>
      </c>
      <c r="G29" s="7"/>
      <c r="H29" s="58" t="str">
        <f>IFERROR(__xludf.DUMMYFUNCTION("""COMPUTED_VALUE"""),"4.40*7.00")</f>
        <v>4.40*7.00</v>
      </c>
      <c r="I29" s="46" t="str">
        <f>IFERROR(__xludf.DUMMYFUNCTION("""COMPUTED_VALUE"""),"60 pt")</f>
        <v>60 pt</v>
      </c>
      <c r="J29" s="59">
        <f>IFERROR(__xludf.DUMMYFUNCTION("""COMPUTED_VALUE"""),6630.434782608695)</f>
        <v>6630.434783</v>
      </c>
      <c r="K29" s="7"/>
      <c r="L29" s="96" t="str">
        <f>IFERROR(__xludf.DUMMYFUNCTION("""COMPUTED_VALUE"""),"6.30*6.30")</f>
        <v>6.30*6.30</v>
      </c>
      <c r="M29" s="99" t="str">
        <f>IFERROR(__xludf.DUMMYFUNCTION("""COMPUTED_VALUE"""),"1.50 ct")</f>
        <v>1.50 ct</v>
      </c>
      <c r="N29" s="101">
        <f>IFERROR(__xludf.DUMMYFUNCTION("""COMPUTED_VALUE"""),9130.434782608696)</f>
        <v>9130.434783</v>
      </c>
      <c r="O29" s="7"/>
      <c r="P29" s="102" t="str">
        <f>IFERROR(__xludf.DUMMYFUNCTION("""COMPUTED_VALUE"""),"3.5*6.50")</f>
        <v>3.5*6.50</v>
      </c>
      <c r="Q29" s="63" t="str">
        <f>IFERROR(__xludf.DUMMYFUNCTION("""COMPUTED_VALUE"""),"58 pt")</f>
        <v>58 pt</v>
      </c>
      <c r="R29" s="101">
        <f>IFERROR(__xludf.DUMMYFUNCTION("""COMPUTED_VALUE"""),8804.347826086956)</f>
        <v>8804.347826</v>
      </c>
    </row>
    <row r="30">
      <c r="A30" s="45"/>
      <c r="B30" s="95" t="str">
        <f>IFERROR(__xludf.DUMMYFUNCTION("""COMPUTED_VALUE"""),"9-9.5")</f>
        <v>9-9.5</v>
      </c>
      <c r="C30" s="87">
        <f>IFERROR(__xludf.DUMMYFUNCTION("""COMPUTED_VALUE"""),0.052)</f>
        <v>0.052</v>
      </c>
      <c r="D30" s="87" t="str">
        <f>IFERROR(__xludf.DUMMYFUNCTION("""COMPUTED_VALUE"""),"2.30-2.40mm")</f>
        <v>2.30-2.40mm</v>
      </c>
      <c r="E30" s="88">
        <f>IFERROR(__xludf.DUMMYFUNCTION("""COMPUTED_VALUE"""),3804.3478260869565)</f>
        <v>3804.347826</v>
      </c>
      <c r="F30" s="50">
        <f>IFERROR(__xludf.DUMMYFUNCTION("""COMPUTED_VALUE"""),3776.086956521739)</f>
        <v>3776.086957</v>
      </c>
      <c r="G30" s="7"/>
      <c r="H30" s="58" t="str">
        <f>IFERROR(__xludf.DUMMYFUNCTION("""COMPUTED_VALUE"""),"5.00*7.00")</f>
        <v>5.00*7.00</v>
      </c>
      <c r="I30" s="46" t="str">
        <f>IFERROR(__xludf.DUMMYFUNCTION("""COMPUTED_VALUE"""),"65 pt")</f>
        <v>65 pt</v>
      </c>
      <c r="J30" s="59">
        <f>IFERROR(__xludf.DUMMYFUNCTION("""COMPUTED_VALUE"""),6630.434782608695)</f>
        <v>6630.434783</v>
      </c>
      <c r="K30" s="7"/>
      <c r="L30" s="103" t="str">
        <f>IFERROR(__xludf.DUMMYFUNCTION("""COMPUTED_VALUE"""),"EM/祖母绿")</f>
        <v>EM/祖母绿</v>
      </c>
      <c r="O30" s="7"/>
      <c r="P30" s="24" t="str">
        <f>IFERROR(__xludf.DUMMYFUNCTION("""COMPUTED_VALUE"""),"TAP/梯方")</f>
        <v>TAP/梯方</v>
      </c>
      <c r="Q30" s="25"/>
      <c r="R30" s="24"/>
    </row>
    <row r="31">
      <c r="A31" s="45"/>
      <c r="B31" s="95" t="str">
        <f>IFERROR(__xludf.DUMMYFUNCTION("""COMPUTED_VALUE"""),"9.5-10")</f>
        <v>9.5-10</v>
      </c>
      <c r="C31" s="87">
        <f>IFERROR(__xludf.DUMMYFUNCTION("""COMPUTED_VALUE"""),0.058)</f>
        <v>0.058</v>
      </c>
      <c r="D31" s="87" t="str">
        <f>IFERROR(__xludf.DUMMYFUNCTION("""COMPUTED_VALUE"""),"2.40-2.50mm")</f>
        <v>2.40-2.50mm</v>
      </c>
      <c r="E31" s="88">
        <f>IFERROR(__xludf.DUMMYFUNCTION("""COMPUTED_VALUE"""),3913.0434782608695)</f>
        <v>3913.043478</v>
      </c>
      <c r="F31" s="50">
        <f>IFERROR(__xludf.DUMMYFUNCTION("""COMPUTED_VALUE"""),3776.086956521739)</f>
        <v>3776.086957</v>
      </c>
      <c r="G31" s="7"/>
      <c r="H31" s="102" t="str">
        <f>IFERROR(__xludf.DUMMYFUNCTION("""COMPUTED_VALUE"""),"5.05*7.55")</f>
        <v>5.05*7.55</v>
      </c>
      <c r="I31" s="63" t="str">
        <f>IFERROR(__xludf.DUMMYFUNCTION("""COMPUTED_VALUE"""),"70 pt")</f>
        <v>70 pt</v>
      </c>
      <c r="J31" s="101">
        <f>IFERROR(__xludf.DUMMYFUNCTION("""COMPUTED_VALUE"""),6630.434782608695)</f>
        <v>6630.434783</v>
      </c>
      <c r="K31" s="7"/>
      <c r="L31" s="55" t="str">
        <f>IFERROR(__xludf.DUMMYFUNCTION("""COMPUTED_VALUE"""),"MM SIZE W/L")</f>
        <v>MM SIZE W/L</v>
      </c>
      <c r="M31" s="53" t="str">
        <f>IFERROR(__xludf.DUMMYFUNCTION("""COMPUTED_VALUE"""),"PTS")</f>
        <v>PTS</v>
      </c>
      <c r="N31" s="54" t="str">
        <f>IFERROR(__xludf.DUMMYFUNCTION("""COMPUTED_VALUE"""),"INR/Ct.")</f>
        <v>INR/Ct.</v>
      </c>
      <c r="O31" s="7"/>
      <c r="P31" s="51" t="str">
        <f>IFERROR(__xludf.DUMMYFUNCTION("""COMPUTED_VALUE"""),"MM SIZE W/L")</f>
        <v>MM SIZE W/L</v>
      </c>
      <c r="Q31" s="53" t="str">
        <f>IFERROR(__xludf.DUMMYFUNCTION("""COMPUTED_VALUE"""),"PTS")</f>
        <v>PTS</v>
      </c>
      <c r="R31" s="54" t="str">
        <f>IFERROR(__xludf.DUMMYFUNCTION("""COMPUTED_VALUE"""),"INR/Ct.")</f>
        <v>INR/Ct.</v>
      </c>
    </row>
    <row r="32">
      <c r="A32" s="45"/>
      <c r="B32" s="95" t="str">
        <f>IFERROR(__xludf.DUMMYFUNCTION("""COMPUTED_VALUE"""),"10-10.5")</f>
        <v>10-10.5</v>
      </c>
      <c r="C32" s="87">
        <f>IFERROR(__xludf.DUMMYFUNCTION("""COMPUTED_VALUE"""),0.069)</f>
        <v>0.069</v>
      </c>
      <c r="D32" s="87" t="str">
        <f>IFERROR(__xludf.DUMMYFUNCTION("""COMPUTED_VALUE"""),"2.50-2.60mm")</f>
        <v>2.50-2.60mm</v>
      </c>
      <c r="E32" s="88">
        <f>IFERROR(__xludf.DUMMYFUNCTION("""COMPUTED_VALUE"""),3913.0434782608695)</f>
        <v>3913.043478</v>
      </c>
      <c r="F32" s="50">
        <f>IFERROR(__xludf.DUMMYFUNCTION("""COMPUTED_VALUE"""),4347.826086956522)</f>
        <v>4347.826087</v>
      </c>
      <c r="G32" s="7"/>
      <c r="H32" s="25" t="str">
        <f>IFERROR(__xludf.DUMMYFUNCTION("""COMPUTED_VALUE"""),"5.05*8.05")</f>
        <v>5.05*8.05</v>
      </c>
      <c r="K32" s="7"/>
      <c r="L32" s="105" t="str">
        <f>IFERROR(__xludf.DUMMYFUNCTION("""COMPUTED_VALUE"""),"2.00*3.00")</f>
        <v>2.00*3.00</v>
      </c>
      <c r="M32" s="106" t="str">
        <f>IFERROR(__xludf.DUMMYFUNCTION("""COMPUTED_VALUE"""),"8 pt")</f>
        <v>8 pt</v>
      </c>
      <c r="N32" s="59">
        <f>IFERROR(__xludf.DUMMYFUNCTION("""COMPUTED_VALUE"""),6521.739130434782)</f>
        <v>6521.73913</v>
      </c>
      <c r="O32" s="7"/>
      <c r="P32" s="58" t="str">
        <f>IFERROR(__xludf.DUMMYFUNCTION("""COMPUTED_VALUE"""),"1.00*1.50*2.00")</f>
        <v>1.00*1.50*2.00</v>
      </c>
      <c r="Q32" s="46" t="str">
        <f>IFERROR(__xludf.DUMMYFUNCTION("""COMPUTED_VALUE"""),"2.5 pt")</f>
        <v>2.5 pt</v>
      </c>
      <c r="R32" s="59">
        <f>IFERROR(__xludf.DUMMYFUNCTION("""COMPUTED_VALUE"""),8804.347826086956)</f>
        <v>8804.347826</v>
      </c>
    </row>
    <row r="33">
      <c r="A33" s="62"/>
      <c r="B33" s="108" t="str">
        <f>IFERROR(__xludf.DUMMYFUNCTION("""COMPUTED_VALUE"""),"10.5-11")</f>
        <v>10.5-11</v>
      </c>
      <c r="C33" s="109">
        <f>IFERROR(__xludf.DUMMYFUNCTION("""COMPUTED_VALUE"""),0.074)</f>
        <v>0.074</v>
      </c>
      <c r="D33" s="109" t="str">
        <f>IFERROR(__xludf.DUMMYFUNCTION("""COMPUTED_VALUE"""),"2.60-2.70mm")</f>
        <v>2.60-2.70mm</v>
      </c>
      <c r="E33" s="91">
        <f>IFERROR(__xludf.DUMMYFUNCTION("""COMPUTED_VALUE"""),3695.6521739130435)</f>
        <v>3695.652174</v>
      </c>
      <c r="F33" s="68">
        <f>IFERROR(__xludf.DUMMYFUNCTION("""COMPUTED_VALUE"""),3776.086956521739)</f>
        <v>3776.086957</v>
      </c>
      <c r="G33" s="7"/>
      <c r="H33" s="51" t="str">
        <f>IFERROR(__xludf.DUMMYFUNCTION("""COMPUTED_VALUE"""),"5.70*8.50")</f>
        <v>5.70*8.50</v>
      </c>
      <c r="I33" s="53" t="str">
        <f>IFERROR(__xludf.DUMMYFUNCTION("""COMPUTED_VALUE"""),"1.00 ct")</f>
        <v>1.00 ct</v>
      </c>
      <c r="J33" s="107">
        <f>IFERROR(__xludf.DUMMYFUNCTION("""COMPUTED_VALUE"""),7826.086956521739)</f>
        <v>7826.086957</v>
      </c>
      <c r="K33" s="7"/>
      <c r="L33" s="105" t="str">
        <f>IFERROR(__xludf.DUMMYFUNCTION("""COMPUTED_VALUE"""),"2.30*3.10")</f>
        <v>2.30*3.10</v>
      </c>
      <c r="M33" s="106" t="str">
        <f>IFERROR(__xludf.DUMMYFUNCTION("""COMPUTED_VALUE"""),"10 pt")</f>
        <v>10 pt</v>
      </c>
      <c r="N33" s="59">
        <f>IFERROR(__xludf.DUMMYFUNCTION("""COMPUTED_VALUE"""),6521.739130434782)</f>
        <v>6521.73913</v>
      </c>
      <c r="O33" s="7"/>
      <c r="P33" s="58" t="str">
        <f>IFERROR(__xludf.DUMMYFUNCTION("""COMPUTED_VALUE"""),"1.00*1.50*2.50")</f>
        <v>1.00*1.50*2.50</v>
      </c>
      <c r="Q33" s="46" t="str">
        <f>IFERROR(__xludf.DUMMYFUNCTION("""COMPUTED_VALUE"""),"3 pt")</f>
        <v>3 pt</v>
      </c>
      <c r="R33" s="59">
        <f>IFERROR(__xludf.DUMMYFUNCTION("""COMPUTED_VALUE"""),8804.347826086956)</f>
        <v>8804.347826</v>
      </c>
    </row>
    <row r="34">
      <c r="A34" s="36" t="str">
        <f>IFERROR(__xludf.DUMMYFUNCTION("""COMPUTED_VALUE"""),"(11-14)")</f>
        <v>(11-14)</v>
      </c>
      <c r="B34" s="92" t="str">
        <f>IFERROR(__xludf.DUMMYFUNCTION("""COMPUTED_VALUE"""),"11-11.5")</f>
        <v>11-11.5</v>
      </c>
      <c r="C34" s="93">
        <f>IFERROR(__xludf.DUMMYFUNCTION("""COMPUTED_VALUE"""),0.078)</f>
        <v>0.078</v>
      </c>
      <c r="D34" s="93" t="str">
        <f>IFERROR(__xludf.DUMMYFUNCTION("""COMPUTED_VALUE"""),"2.70-2.80mm")</f>
        <v>2.70-2.80mm</v>
      </c>
      <c r="E34" s="94">
        <f>IFERROR(__xludf.DUMMYFUNCTION("""COMPUTED_VALUE"""),3586.9565217391305)</f>
        <v>3586.956522</v>
      </c>
      <c r="F34" s="42">
        <f>IFERROR(__xludf.DUMMYFUNCTION("""COMPUTED_VALUE"""),4805.434782608695)</f>
        <v>4805.434783</v>
      </c>
      <c r="G34" s="7"/>
      <c r="H34" s="58" t="str">
        <f>IFERROR(__xludf.DUMMYFUNCTION("""COMPUTED_VALUE"""),"MQ/马眼")</f>
        <v>MQ/马眼</v>
      </c>
      <c r="I34" s="46"/>
      <c r="J34" s="59"/>
      <c r="K34" s="7"/>
      <c r="L34" s="105" t="str">
        <f>IFERROR(__xludf.DUMMYFUNCTION("""COMPUTED_VALUE"""),"2.55*3.55")</f>
        <v>2.55*3.55</v>
      </c>
      <c r="M34" s="106" t="str">
        <f>IFERROR(__xludf.DUMMYFUNCTION("""COMPUTED_VALUE"""),"15 pt")</f>
        <v>15 pt</v>
      </c>
      <c r="N34" s="59">
        <f>IFERROR(__xludf.DUMMYFUNCTION("""COMPUTED_VALUE"""),5978.260869565217)</f>
        <v>5978.26087</v>
      </c>
      <c r="O34" s="7"/>
      <c r="P34" s="58" t="str">
        <f>IFERROR(__xludf.DUMMYFUNCTION("""COMPUTED_VALUE"""),"1.00*1.50*3.00")</f>
        <v>1.00*1.50*3.00</v>
      </c>
      <c r="Q34" s="46" t="str">
        <f>IFERROR(__xludf.DUMMYFUNCTION("""COMPUTED_VALUE"""),"3.5 pt")</f>
        <v>3.5 pt</v>
      </c>
      <c r="R34" s="59">
        <f>IFERROR(__xludf.DUMMYFUNCTION("""COMPUTED_VALUE"""),8369.565217391304)</f>
        <v>8369.565217</v>
      </c>
    </row>
    <row r="35">
      <c r="A35" s="45"/>
      <c r="B35" s="95" t="str">
        <f>IFERROR(__xludf.DUMMYFUNCTION("""COMPUTED_VALUE"""),"11.5-12")</f>
        <v>11.5-12</v>
      </c>
      <c r="C35" s="87">
        <f>IFERROR(__xludf.DUMMYFUNCTION("""COMPUTED_VALUE"""),0.086)</f>
        <v>0.086</v>
      </c>
      <c r="D35" s="87" t="str">
        <f>IFERROR(__xludf.DUMMYFUNCTION("""COMPUTED_VALUE"""),"2.80-2.90mm")</f>
        <v>2.80-2.90mm</v>
      </c>
      <c r="E35" s="88">
        <f>IFERROR(__xludf.DUMMYFUNCTION("""COMPUTED_VALUE"""),3695.6521739130435)</f>
        <v>3695.652174</v>
      </c>
      <c r="F35" s="50">
        <f>IFERROR(__xludf.DUMMYFUNCTION("""COMPUTED_VALUE"""),4805.434782608695)</f>
        <v>4805.434783</v>
      </c>
      <c r="G35" s="7"/>
      <c r="H35" s="58" t="str">
        <f>IFERROR(__xludf.DUMMYFUNCTION("""COMPUTED_VALUE"""),"MM SIZE W/L")</f>
        <v>MM SIZE W/L</v>
      </c>
      <c r="I35" s="46" t="str">
        <f>IFERROR(__xludf.DUMMYFUNCTION("""COMPUTED_VALUE"""),"PTS")</f>
        <v>PTS</v>
      </c>
      <c r="J35" s="59" t="str">
        <f>IFERROR(__xludf.DUMMYFUNCTION("""COMPUTED_VALUE"""),"INR/Ct.")</f>
        <v>INR/Ct.</v>
      </c>
      <c r="K35" s="7"/>
      <c r="L35" s="105" t="str">
        <f>IFERROR(__xludf.DUMMYFUNCTION("""COMPUTED_VALUE"""),"2.50*4.00")</f>
        <v>2.50*4.00</v>
      </c>
      <c r="M35" s="106" t="str">
        <f>IFERROR(__xludf.DUMMYFUNCTION("""COMPUTED_VALUE"""),"17 pt")</f>
        <v>17 pt</v>
      </c>
      <c r="N35" s="59">
        <f>IFERROR(__xludf.DUMMYFUNCTION("""COMPUTED_VALUE"""),6195.652173913043)</f>
        <v>6195.652174</v>
      </c>
      <c r="O35" s="7"/>
      <c r="P35" s="58" t="str">
        <f>IFERROR(__xludf.DUMMYFUNCTION("""COMPUTED_VALUE"""),"1.00*2.00*3.00")</f>
        <v>1.00*2.00*3.00</v>
      </c>
      <c r="Q35" s="46" t="str">
        <f>IFERROR(__xludf.DUMMYFUNCTION("""COMPUTED_VALUE"""),"6 pt")</f>
        <v>6 pt</v>
      </c>
      <c r="R35" s="59">
        <f>IFERROR(__xludf.DUMMYFUNCTION("""COMPUTED_VALUE"""),8369.565217391304)</f>
        <v>8369.565217</v>
      </c>
    </row>
    <row r="36">
      <c r="A36" s="45"/>
      <c r="B36" s="95" t="str">
        <f>IFERROR(__xludf.DUMMYFUNCTION("""COMPUTED_VALUE"""),"12-12.25")</f>
        <v>12-12.25</v>
      </c>
      <c r="C36" s="113">
        <f>IFERROR(__xludf.DUMMYFUNCTION("""COMPUTED_VALUE"""),0.1)</f>
        <v>0.1</v>
      </c>
      <c r="D36" s="87" t="str">
        <f>IFERROR(__xludf.DUMMYFUNCTION("""COMPUTED_VALUE"""),"2.90-2.95mm")</f>
        <v>2.90-2.95mm</v>
      </c>
      <c r="E36" s="88">
        <f>IFERROR(__xludf.DUMMYFUNCTION("""COMPUTED_VALUE"""),4456.521739130435)</f>
        <v>4456.521739</v>
      </c>
      <c r="F36" s="50">
        <f>IFERROR(__xludf.DUMMYFUNCTION("""COMPUTED_VALUE"""),5950.0)</f>
        <v>5950</v>
      </c>
      <c r="G36" s="7"/>
      <c r="H36" s="58" t="str">
        <f>IFERROR(__xludf.DUMMYFUNCTION("""COMPUTED_VALUE"""),"1.50*2.50")</f>
        <v>1.50*2.50</v>
      </c>
      <c r="I36" s="46" t="str">
        <f>IFERROR(__xludf.DUMMYFUNCTION("""COMPUTED_VALUE"""),"2 pt")</f>
        <v>2 pt</v>
      </c>
      <c r="J36" s="59">
        <f>IFERROR(__xludf.DUMMYFUNCTION("""COMPUTED_VALUE"""),12934.782608695652)</f>
        <v>12934.78261</v>
      </c>
      <c r="K36" s="7"/>
      <c r="L36" s="105" t="str">
        <f>IFERROR(__xludf.DUMMYFUNCTION("""COMPUTED_VALUE"""),"2.80*4.00")</f>
        <v>2.80*4.00</v>
      </c>
      <c r="M36" s="106" t="str">
        <f>IFERROR(__xludf.DUMMYFUNCTION("""COMPUTED_VALUE"""),"20 pt")</f>
        <v>20 pt</v>
      </c>
      <c r="N36" s="59">
        <f>IFERROR(__xludf.DUMMYFUNCTION("""COMPUTED_VALUE"""),6195.652173913043)</f>
        <v>6195.652174</v>
      </c>
      <c r="O36" s="7"/>
      <c r="P36" s="58" t="str">
        <f>IFERROR(__xludf.DUMMYFUNCTION("""COMPUTED_VALUE"""),"1.25*2.00*3.00")</f>
        <v>1.25*2.00*3.00</v>
      </c>
      <c r="Q36" s="46" t="str">
        <f>IFERROR(__xludf.DUMMYFUNCTION("""COMPUTED_VALUE"""),"6.5 pt")</f>
        <v>6.5 pt</v>
      </c>
      <c r="R36" s="59">
        <f>IFERROR(__xludf.DUMMYFUNCTION("""COMPUTED_VALUE"""),8369.565217391304)</f>
        <v>8369.565217</v>
      </c>
    </row>
    <row r="37">
      <c r="A37" s="45"/>
      <c r="B37" s="95" t="str">
        <f>IFERROR(__xludf.DUMMYFUNCTION("""COMPUTED_VALUE"""),"12.25-12.5")</f>
        <v>12.25-12.5</v>
      </c>
      <c r="C37" s="112"/>
      <c r="D37" s="87" t="str">
        <f>IFERROR(__xludf.DUMMYFUNCTION("""COMPUTED_VALUE"""),"2.95-3.00mm")</f>
        <v>2.95-3.00mm</v>
      </c>
      <c r="E37" s="88">
        <f>IFERROR(__xludf.DUMMYFUNCTION("""COMPUTED_VALUE"""),4456.521739130435)</f>
        <v>4456.521739</v>
      </c>
      <c r="F37" s="50">
        <f>IFERROR(__xludf.DUMMYFUNCTION("""COMPUTED_VALUE"""),5950.0)</f>
        <v>5950</v>
      </c>
      <c r="G37" s="7"/>
      <c r="H37" s="58" t="str">
        <f>IFERROR(__xludf.DUMMYFUNCTION("""COMPUTED_VALUE"""),"1.50*3.00")</f>
        <v>1.50*3.00</v>
      </c>
      <c r="I37" s="46" t="str">
        <f>IFERROR(__xludf.DUMMYFUNCTION("""COMPUTED_VALUE"""),"3 pt")</f>
        <v>3 pt</v>
      </c>
      <c r="J37" s="59">
        <f>IFERROR(__xludf.DUMMYFUNCTION("""COMPUTED_VALUE"""),10543.478260869564)</f>
        <v>10543.47826</v>
      </c>
      <c r="K37" s="7"/>
      <c r="L37" s="105" t="str">
        <f>IFERROR(__xludf.DUMMYFUNCTION("""COMPUTED_VALUE"""),"3.00*4.00")</f>
        <v>3.00*4.00</v>
      </c>
      <c r="M37" s="106" t="str">
        <f>IFERROR(__xludf.DUMMYFUNCTION("""COMPUTED_VALUE"""),"25 pt")</f>
        <v>25 pt</v>
      </c>
      <c r="N37" s="59">
        <f>IFERROR(__xludf.DUMMYFUNCTION("""COMPUTED_VALUE"""),6195.652173913043)</f>
        <v>6195.652174</v>
      </c>
      <c r="O37" s="7"/>
      <c r="P37" s="58" t="str">
        <f>IFERROR(__xludf.DUMMYFUNCTION("""COMPUTED_VALUE"""),"1.50*2.50*3.00")</f>
        <v>1.50*2.50*3.00</v>
      </c>
      <c r="Q37" s="46" t="str">
        <f>IFERROR(__xludf.DUMMYFUNCTION("""COMPUTED_VALUE"""),"10 pt")</f>
        <v>10 pt</v>
      </c>
      <c r="R37" s="59">
        <f>IFERROR(__xludf.DUMMYFUNCTION("""COMPUTED_VALUE"""),8369.565217391304)</f>
        <v>8369.565217</v>
      </c>
    </row>
    <row r="38">
      <c r="A38" s="45"/>
      <c r="B38" s="95" t="str">
        <f>IFERROR(__xludf.DUMMYFUNCTION("""COMPUTED_VALUE"""),"12.5-12.75")</f>
        <v>12.5-12.75</v>
      </c>
      <c r="C38" s="112"/>
      <c r="D38" s="87" t="str">
        <f>IFERROR(__xludf.DUMMYFUNCTION("""COMPUTED_VALUE"""),"3.00-3.05mm")</f>
        <v>3.00-3.05mm</v>
      </c>
      <c r="E38" s="88">
        <f>IFERROR(__xludf.DUMMYFUNCTION("""COMPUTED_VALUE"""),4456.521739130435)</f>
        <v>4456.521739</v>
      </c>
      <c r="F38" s="50">
        <f>IFERROR(__xludf.DUMMYFUNCTION("""COMPUTED_VALUE"""),5950.0)</f>
        <v>5950</v>
      </c>
      <c r="G38" s="7"/>
      <c r="H38" s="58" t="str">
        <f>IFERROR(__xludf.DUMMYFUNCTION("""COMPUTED_VALUE"""),"1.75*3.50")</f>
        <v>1.75*3.50</v>
      </c>
      <c r="I38" s="46" t="str">
        <f>IFERROR(__xludf.DUMMYFUNCTION("""COMPUTED_VALUE"""),"4 pt")</f>
        <v>4 pt</v>
      </c>
      <c r="J38" s="59">
        <f>IFERROR(__xludf.DUMMYFUNCTION("""COMPUTED_VALUE"""),8152.173913043478)</f>
        <v>8152.173913</v>
      </c>
      <c r="K38" s="7"/>
      <c r="L38" s="105" t="str">
        <f>IFERROR(__xludf.DUMMYFUNCTION("""COMPUTED_VALUE"""),"3.00*4.25")</f>
        <v>3.00*4.25</v>
      </c>
      <c r="M38" s="106" t="str">
        <f>IFERROR(__xludf.DUMMYFUNCTION("""COMPUTED_VALUE"""),"26 pt")</f>
        <v>26 pt</v>
      </c>
      <c r="N38" s="59">
        <f>IFERROR(__xludf.DUMMYFUNCTION("""COMPUTED_VALUE"""),6195.652173913043)</f>
        <v>6195.652174</v>
      </c>
      <c r="O38" s="7"/>
      <c r="P38" s="58" t="str">
        <f>IFERROR(__xludf.DUMMYFUNCTION("""COMPUTED_VALUE"""),"1.20*2.00*3.50")</f>
        <v>1.20*2.00*3.50</v>
      </c>
      <c r="Q38" s="46" t="str">
        <f>IFERROR(__xludf.DUMMYFUNCTION("""COMPUTED_VALUE"""),"7 pt")</f>
        <v>7 pt</v>
      </c>
      <c r="R38" s="59">
        <f>IFERROR(__xludf.DUMMYFUNCTION("""COMPUTED_VALUE"""),8369.565217391304)</f>
        <v>8369.565217</v>
      </c>
    </row>
    <row r="39">
      <c r="A39" s="45"/>
      <c r="B39" s="95" t="str">
        <f>IFERROR(__xludf.DUMMYFUNCTION("""COMPUTED_VALUE"""),"12.75-13")</f>
        <v>12.75-13</v>
      </c>
      <c r="C39" s="76"/>
      <c r="D39" s="87" t="str">
        <f>IFERROR(__xludf.DUMMYFUNCTION("""COMPUTED_VALUE"""),"3.05-3.10mm")</f>
        <v>3.05-3.10mm</v>
      </c>
      <c r="E39" s="88">
        <f>IFERROR(__xludf.DUMMYFUNCTION("""COMPUTED_VALUE"""),4456.521739130435)</f>
        <v>4456.521739</v>
      </c>
      <c r="F39" s="50">
        <f>IFERROR(__xludf.DUMMYFUNCTION("""COMPUTED_VALUE"""),5950.0)</f>
        <v>5950</v>
      </c>
      <c r="G39" s="7"/>
      <c r="H39" s="58" t="str">
        <f>IFERROR(__xludf.DUMMYFUNCTION("""COMPUTED_VALUE"""),"2.00*3.00")</f>
        <v>2.00*3.00</v>
      </c>
      <c r="I39" s="46" t="str">
        <f>IFERROR(__xludf.DUMMYFUNCTION("""COMPUTED_VALUE"""),"4.5 pt")</f>
        <v>4.5 pt</v>
      </c>
      <c r="J39" s="59">
        <f>IFERROR(__xludf.DUMMYFUNCTION("""COMPUTED_VALUE"""),7173.913043478261)</f>
        <v>7173.913043</v>
      </c>
      <c r="K39" s="7"/>
      <c r="L39" s="105" t="str">
        <f>IFERROR(__xludf.DUMMYFUNCTION("""COMPUTED_VALUE"""),"3.20*4.50")</f>
        <v>3.20*4.50</v>
      </c>
      <c r="M39" s="106" t="str">
        <f>IFERROR(__xludf.DUMMYFUNCTION("""COMPUTED_VALUE"""),"30  pt")</f>
        <v>30  pt</v>
      </c>
      <c r="N39" s="59">
        <f>IFERROR(__xludf.DUMMYFUNCTION("""COMPUTED_VALUE"""),6847.826086956521)</f>
        <v>6847.826087</v>
      </c>
      <c r="O39" s="7"/>
      <c r="P39" s="58" t="str">
        <f>IFERROR(__xludf.DUMMYFUNCTION("""COMPUTED_VALUE"""),"1.50*2.50*3.50")</f>
        <v>1.50*2.50*3.50</v>
      </c>
      <c r="Q39" s="46" t="str">
        <f>IFERROR(__xludf.DUMMYFUNCTION("""COMPUTED_VALUE"""),"11.5 pt")</f>
        <v>11.5 pt</v>
      </c>
      <c r="R39" s="59">
        <f>IFERROR(__xludf.DUMMYFUNCTION("""COMPUTED_VALUE"""),8369.565217391304)</f>
        <v>8369.565217</v>
      </c>
    </row>
    <row r="40">
      <c r="A40" s="45"/>
      <c r="B40" s="95" t="str">
        <f>IFERROR(__xludf.DUMMYFUNCTION("""COMPUTED_VALUE"""),"13-13.5")</f>
        <v>13-13.5</v>
      </c>
      <c r="C40" s="87">
        <f>IFERROR(__xludf.DUMMYFUNCTION("""COMPUTED_VALUE"""),0.116)</f>
        <v>0.116</v>
      </c>
      <c r="D40" s="87" t="str">
        <f>IFERROR(__xludf.DUMMYFUNCTION("""COMPUTED_VALUE"""),"3.10-3.20mm")</f>
        <v>3.10-3.20mm</v>
      </c>
      <c r="E40" s="88">
        <f>IFERROR(__xludf.DUMMYFUNCTION("""COMPUTED_VALUE"""),3913.0434782608695)</f>
        <v>3913.043478</v>
      </c>
      <c r="F40" s="50">
        <f>IFERROR(__xludf.DUMMYFUNCTION("""COMPUTED_VALUE"""),5148.913043478261)</f>
        <v>5148.913043</v>
      </c>
      <c r="G40" s="7"/>
      <c r="H40" s="58" t="str">
        <f>IFERROR(__xludf.DUMMYFUNCTION("""COMPUTED_VALUE"""),"2.00*3.50")</f>
        <v>2.00*3.50</v>
      </c>
      <c r="I40" s="46" t="str">
        <f>IFERROR(__xludf.DUMMYFUNCTION("""COMPUTED_VALUE"""),"5 pt")</f>
        <v>5 pt</v>
      </c>
      <c r="J40" s="59">
        <f>IFERROR(__xludf.DUMMYFUNCTION("""COMPUTED_VALUE"""),6847.826086956521)</f>
        <v>6847.826087</v>
      </c>
      <c r="K40" s="7"/>
      <c r="L40" s="105" t="str">
        <f>IFERROR(__xludf.DUMMYFUNCTION("""COMPUTED_VALUE"""),"3.00*5.00")</f>
        <v>3.00*5.00</v>
      </c>
      <c r="M40" s="106" t="str">
        <f>IFERROR(__xludf.DUMMYFUNCTION("""COMPUTED_VALUE"""),"30 pt")</f>
        <v>30 pt</v>
      </c>
      <c r="N40" s="59">
        <f>IFERROR(__xludf.DUMMYFUNCTION("""COMPUTED_VALUE"""),7391.304347826087)</f>
        <v>7391.304348</v>
      </c>
      <c r="O40" s="7"/>
      <c r="P40" s="58" t="str">
        <f>IFERROR(__xludf.DUMMYFUNCTION("""COMPUTED_VALUE"""),"1.50*2.00*4.00")</f>
        <v>1.50*2.00*4.00</v>
      </c>
      <c r="Q40" s="46" t="str">
        <f>IFERROR(__xludf.DUMMYFUNCTION("""COMPUTED_VALUE"""),"8 pt")</f>
        <v>8 pt</v>
      </c>
      <c r="R40" s="59">
        <f>IFERROR(__xludf.DUMMYFUNCTION("""COMPUTED_VALUE"""),8478.260869565216)</f>
        <v>8478.26087</v>
      </c>
    </row>
    <row r="41">
      <c r="A41" s="62"/>
      <c r="B41" s="108" t="str">
        <f>IFERROR(__xludf.DUMMYFUNCTION("""COMPUTED_VALUE"""),"13.5-14")</f>
        <v>13.5-14</v>
      </c>
      <c r="C41" s="109">
        <f>IFERROR(__xludf.DUMMYFUNCTION("""COMPUTED_VALUE"""),0.125)</f>
        <v>0.125</v>
      </c>
      <c r="D41" s="109" t="str">
        <f>IFERROR(__xludf.DUMMYFUNCTION("""COMPUTED_VALUE"""),"3.20-3.30mm")</f>
        <v>3.20-3.30mm</v>
      </c>
      <c r="E41" s="91">
        <f>IFERROR(__xludf.DUMMYFUNCTION("""COMPUTED_VALUE"""),3913.0434782608695)</f>
        <v>3913.043478</v>
      </c>
      <c r="F41" s="68">
        <f>IFERROR(__xludf.DUMMYFUNCTION("""COMPUTED_VALUE"""),5148.913043478261)</f>
        <v>5148.913043</v>
      </c>
      <c r="G41" s="7"/>
      <c r="H41" s="58" t="str">
        <f>IFERROR(__xludf.DUMMYFUNCTION("""COMPUTED_VALUE"""),"2.00*4.00")</f>
        <v>2.00*4.00</v>
      </c>
      <c r="I41" s="46" t="str">
        <f>IFERROR(__xludf.DUMMYFUNCTION("""COMPUTED_VALUE"""),"6 pt")</f>
        <v>6 pt</v>
      </c>
      <c r="J41" s="59">
        <f>IFERROR(__xludf.DUMMYFUNCTION("""COMPUTED_VALUE"""),6304.347826086956)</f>
        <v>6304.347826</v>
      </c>
      <c r="K41" s="7"/>
      <c r="L41" s="105" t="str">
        <f>IFERROR(__xludf.DUMMYFUNCTION("""COMPUTED_VALUE"""),"3.35*4.80")</f>
        <v>3.35*4.80</v>
      </c>
      <c r="M41" s="106" t="str">
        <f>IFERROR(__xludf.DUMMYFUNCTION("""COMPUTED_VALUE"""),"35 pt")</f>
        <v>35 pt</v>
      </c>
      <c r="N41" s="59">
        <f>IFERROR(__xludf.DUMMYFUNCTION("""COMPUTED_VALUE"""),6521.739130434782)</f>
        <v>6521.73913</v>
      </c>
      <c r="O41" s="7"/>
      <c r="P41" s="58" t="str">
        <f>IFERROR(__xludf.DUMMYFUNCTION("""COMPUTED_VALUE"""),"1.50*2.50*4.00")</f>
        <v>1.50*2.50*4.00</v>
      </c>
      <c r="Q41" s="46" t="str">
        <f>IFERROR(__xludf.DUMMYFUNCTION("""COMPUTED_VALUE"""),"13 pt")</f>
        <v>13 pt</v>
      </c>
      <c r="R41" s="59">
        <f>IFERROR(__xludf.DUMMYFUNCTION("""COMPUTED_VALUE"""),8478.260869565216)</f>
        <v>8478.26087</v>
      </c>
    </row>
    <row r="42">
      <c r="A42" s="36" t="str">
        <f>IFERROR(__xludf.DUMMYFUNCTION("""COMPUTED_VALUE"""),"15 PT")</f>
        <v>15 PT</v>
      </c>
      <c r="B42" s="92" t="str">
        <f>IFERROR(__xludf.DUMMYFUNCTION("""COMPUTED_VALUE"""),"14-14.5")</f>
        <v>14-14.5</v>
      </c>
      <c r="C42" s="93">
        <f>IFERROR(__xludf.DUMMYFUNCTION("""COMPUTED_VALUE"""),0.135)</f>
        <v>0.135</v>
      </c>
      <c r="D42" s="93" t="str">
        <f>IFERROR(__xludf.DUMMYFUNCTION("""COMPUTED_VALUE"""),"3.30-3.40mm")</f>
        <v>3.30-3.40mm</v>
      </c>
      <c r="E42" s="94">
        <f>IFERROR(__xludf.DUMMYFUNCTION("""COMPUTED_VALUE"""),3804.3478260869565)</f>
        <v>3804.347826</v>
      </c>
      <c r="F42" s="42">
        <f>IFERROR(__xludf.DUMMYFUNCTION("""COMPUTED_VALUE"""),5493.478260869565)</f>
        <v>5493.478261</v>
      </c>
      <c r="G42" s="7"/>
      <c r="H42" s="58" t="str">
        <f>IFERROR(__xludf.DUMMYFUNCTION("""COMPUTED_VALUE"""),"2.50*4.50")</f>
        <v>2.50*4.50</v>
      </c>
      <c r="I42" s="46" t="str">
        <f>IFERROR(__xludf.DUMMYFUNCTION("""COMPUTED_VALUE"""),"10 pt")</f>
        <v>10 pt</v>
      </c>
      <c r="J42" s="59">
        <f>IFERROR(__xludf.DUMMYFUNCTION("""COMPUTED_VALUE"""),7065.217391304347)</f>
        <v>7065.217391</v>
      </c>
      <c r="K42" s="7"/>
      <c r="L42" s="105" t="str">
        <f>IFERROR(__xludf.DUMMYFUNCTION("""COMPUTED_VALUE"""),"3.50*5.00")</f>
        <v>3.50*5.00</v>
      </c>
      <c r="M42" s="106" t="str">
        <f>IFERROR(__xludf.DUMMYFUNCTION("""COMPUTED_VALUE"""),"40 pt")</f>
        <v>40 pt</v>
      </c>
      <c r="N42" s="59">
        <f>IFERROR(__xludf.DUMMYFUNCTION("""COMPUTED_VALUE"""),6521.739130434782)</f>
        <v>6521.73913</v>
      </c>
      <c r="O42" s="7"/>
      <c r="P42" s="58" t="str">
        <f>IFERROR(__xludf.DUMMYFUNCTION("""COMPUTED_VALUE"""),"2.00*3.00*4.00")</f>
        <v>2.00*3.00*4.00</v>
      </c>
      <c r="Q42" s="46" t="str">
        <f>IFERROR(__xludf.DUMMYFUNCTION("""COMPUTED_VALUE"""),"20 pt")</f>
        <v>20 pt</v>
      </c>
      <c r="R42" s="59">
        <f>IFERROR(__xludf.DUMMYFUNCTION("""COMPUTED_VALUE"""),8478.260869565216)</f>
        <v>8478.26087</v>
      </c>
    </row>
    <row r="43">
      <c r="A43" s="45"/>
      <c r="B43" s="95" t="str">
        <f>IFERROR(__xludf.DUMMYFUNCTION("""COMPUTED_VALUE"""),"14.5-15")</f>
        <v>14.5-15</v>
      </c>
      <c r="C43" s="87">
        <f>IFERROR(__xludf.DUMMYFUNCTION("""COMPUTED_VALUE"""),0.146)</f>
        <v>0.146</v>
      </c>
      <c r="D43" s="87" t="str">
        <f>IFERROR(__xludf.DUMMYFUNCTION("""COMPUTED_VALUE"""),"3.40-3.50mm")</f>
        <v>3.40-3.50mm</v>
      </c>
      <c r="E43" s="88">
        <f>IFERROR(__xludf.DUMMYFUNCTION("""COMPUTED_VALUE"""),4021.7391304347825)</f>
        <v>4021.73913</v>
      </c>
      <c r="F43" s="50">
        <f>IFERROR(__xludf.DUMMYFUNCTION("""COMPUTED_VALUE"""),5720.652173913043)</f>
        <v>5720.652174</v>
      </c>
      <c r="G43" s="7"/>
      <c r="H43" s="58" t="str">
        <f>IFERROR(__xludf.DUMMYFUNCTION("""COMPUTED_VALUE"""),"2.50*5.00")</f>
        <v>2.50*5.00</v>
      </c>
      <c r="I43" s="46" t="str">
        <f>IFERROR(__xludf.DUMMYFUNCTION("""COMPUTED_VALUE"""),"11 pt")</f>
        <v>11 pt</v>
      </c>
      <c r="J43" s="59">
        <f>IFERROR(__xludf.DUMMYFUNCTION("""COMPUTED_VALUE"""),7391.304347826087)</f>
        <v>7391.304348</v>
      </c>
      <c r="K43" s="7"/>
      <c r="L43" s="105" t="str">
        <f>IFERROR(__xludf.DUMMYFUNCTION("""COMPUTED_VALUE"""),"3.80*5.40")</f>
        <v>3.80*5.40</v>
      </c>
      <c r="M43" s="106" t="str">
        <f>IFERROR(__xludf.DUMMYFUNCTION("""COMPUTED_VALUE"""),"50 pt")</f>
        <v>50 pt</v>
      </c>
      <c r="N43" s="59">
        <f>IFERROR(__xludf.DUMMYFUNCTION("""COMPUTED_VALUE"""),6847.826086956521)</f>
        <v>6847.826087</v>
      </c>
      <c r="O43" s="7"/>
      <c r="P43" s="58" t="str">
        <f>IFERROR(__xludf.DUMMYFUNCTION("""COMPUTED_VALUE"""),"1.50*2.50*4.50")</f>
        <v>1.50*2.50*4.50</v>
      </c>
      <c r="Q43" s="46" t="str">
        <f>IFERROR(__xludf.DUMMYFUNCTION("""COMPUTED_VALUE"""),"15 pt")</f>
        <v>15 pt</v>
      </c>
      <c r="R43" s="59">
        <f>IFERROR(__xludf.DUMMYFUNCTION("""COMPUTED_VALUE"""),8478.260869565216)</f>
        <v>8478.26087</v>
      </c>
    </row>
    <row r="44">
      <c r="A44" s="62"/>
      <c r="B44" s="108" t="str">
        <f>IFERROR(__xludf.DUMMYFUNCTION("""COMPUTED_VALUE"""),"15-15.5")</f>
        <v>15-15.5</v>
      </c>
      <c r="C44" s="109">
        <f>IFERROR(__xludf.DUMMYFUNCTION("""COMPUTED_VALUE"""),0.159)</f>
        <v>0.159</v>
      </c>
      <c r="D44" s="109" t="str">
        <f>IFERROR(__xludf.DUMMYFUNCTION("""COMPUTED_VALUE"""),"3.50-3.60mm")</f>
        <v>3.50-3.60mm</v>
      </c>
      <c r="E44" s="91">
        <f>IFERROR(__xludf.DUMMYFUNCTION("""COMPUTED_VALUE"""),3913.0434782608695)</f>
        <v>3913.043478</v>
      </c>
      <c r="F44" s="68">
        <f>IFERROR(__xludf.DUMMYFUNCTION("""COMPUTED_VALUE"""),5720.652173913043)</f>
        <v>5720.652174</v>
      </c>
      <c r="G44" s="7"/>
      <c r="H44" s="58" t="str">
        <f>IFERROR(__xludf.DUMMYFUNCTION("""COMPUTED_VALUE"""),"3.00*5.00")</f>
        <v>3.00*5.00</v>
      </c>
      <c r="I44" s="46" t="str">
        <f>IFERROR(__xludf.DUMMYFUNCTION("""COMPUTED_VALUE"""),"14 pt")</f>
        <v>14 pt</v>
      </c>
      <c r="J44" s="59">
        <f>IFERROR(__xludf.DUMMYFUNCTION("""COMPUTED_VALUE"""),7173.913043478261)</f>
        <v>7173.913043</v>
      </c>
      <c r="K44" s="7"/>
      <c r="L44" s="105" t="str">
        <f>IFERROR(__xludf.DUMMYFUNCTION("""COMPUTED_VALUE"""),"4.05*6.05")</f>
        <v>4.05*6.05</v>
      </c>
      <c r="M44" s="106" t="str">
        <f>IFERROR(__xludf.DUMMYFUNCTION("""COMPUTED_VALUE"""),"70 pt")</f>
        <v>70 pt</v>
      </c>
      <c r="N44" s="59">
        <f>IFERROR(__xludf.DUMMYFUNCTION("""COMPUTED_VALUE"""),6521.739130434782)</f>
        <v>6521.73913</v>
      </c>
      <c r="O44" s="7"/>
      <c r="P44" s="58" t="str">
        <f>IFERROR(__xludf.DUMMYFUNCTION("""COMPUTED_VALUE"""),"2.00*3.00*5.00")</f>
        <v>2.00*3.00*5.00</v>
      </c>
      <c r="Q44" s="46" t="str">
        <f>IFERROR(__xludf.DUMMYFUNCTION("""COMPUTED_VALUE"""),"25 pt")</f>
        <v>25 pt</v>
      </c>
      <c r="R44" s="59">
        <f>IFERROR(__xludf.DUMMYFUNCTION("""COMPUTED_VALUE"""),8804.347826086956)</f>
        <v>8804.347826</v>
      </c>
    </row>
    <row r="45">
      <c r="A45" s="36" t="str">
        <f>IFERROR(__xludf.DUMMYFUNCTION("""COMPUTED_VALUE"""),"20 PT")</f>
        <v>20 PT</v>
      </c>
      <c r="B45" s="92" t="str">
        <f>IFERROR(__xludf.DUMMYFUNCTION("""COMPUTED_VALUE"""),"15.5-16")</f>
        <v>15.5-16</v>
      </c>
      <c r="C45" s="93">
        <f>IFERROR(__xludf.DUMMYFUNCTION("""COMPUTED_VALUE"""),0.175)</f>
        <v>0.175</v>
      </c>
      <c r="D45" s="93" t="str">
        <f>IFERROR(__xludf.DUMMYFUNCTION("""COMPUTED_VALUE"""),"3.60-3.70mm")</f>
        <v>3.60-3.70mm</v>
      </c>
      <c r="E45" s="94">
        <f>IFERROR(__xludf.DUMMYFUNCTION("""COMPUTED_VALUE"""),4021.7391304347825)</f>
        <v>4021.73913</v>
      </c>
      <c r="F45" s="42">
        <f>IFERROR(__xludf.DUMMYFUNCTION("""COMPUTED_VALUE"""),5720.652173913043)</f>
        <v>5720.652174</v>
      </c>
      <c r="G45" s="7"/>
      <c r="H45" s="58" t="str">
        <f>IFERROR(__xludf.DUMMYFUNCTION("""COMPUTED_VALUE"""),"2.80*5.50")</f>
        <v>2.80*5.50</v>
      </c>
      <c r="I45" s="46" t="str">
        <f>IFERROR(__xludf.DUMMYFUNCTION("""COMPUTED_VALUE"""),"15 pt")</f>
        <v>15 pt</v>
      </c>
      <c r="J45" s="59">
        <f>IFERROR(__xludf.DUMMYFUNCTION("""COMPUTED_VALUE"""),6630.434782608695)</f>
        <v>6630.434783</v>
      </c>
      <c r="K45" s="7"/>
      <c r="L45" s="105" t="str">
        <f>IFERROR(__xludf.DUMMYFUNCTION("""COMPUTED_VALUE"""),"4.45*6.30")</f>
        <v>4.45*6.30</v>
      </c>
      <c r="M45" s="106" t="str">
        <f>IFERROR(__xludf.DUMMYFUNCTION("""COMPUTED_VALUE"""),"80 pt")</f>
        <v>80 pt</v>
      </c>
      <c r="N45" s="59">
        <f>IFERROR(__xludf.DUMMYFUNCTION("""COMPUTED_VALUE"""),6195.652173913043)</f>
        <v>6195.652174</v>
      </c>
      <c r="O45" s="7"/>
      <c r="P45" s="58" t="str">
        <f>IFERROR(__xludf.DUMMYFUNCTION("""COMPUTED_VALUE"""),"2.00*3.50*5.00")</f>
        <v>2.00*3.50*5.00</v>
      </c>
      <c r="Q45" s="46" t="str">
        <f>IFERROR(__xludf.DUMMYFUNCTION("""COMPUTED_VALUE"""),"32 pt")</f>
        <v>32 pt</v>
      </c>
      <c r="R45" s="59">
        <f>IFERROR(__xludf.DUMMYFUNCTION("""COMPUTED_VALUE"""),8804.347826086956)</f>
        <v>8804.347826</v>
      </c>
    </row>
    <row r="46">
      <c r="A46" s="45"/>
      <c r="B46" s="95" t="str">
        <f>IFERROR(__xludf.DUMMYFUNCTION("""COMPUTED_VALUE"""),"16-16.5")</f>
        <v>16-16.5</v>
      </c>
      <c r="C46" s="87">
        <f>IFERROR(__xludf.DUMMYFUNCTION("""COMPUTED_VALUE"""),0.185)</f>
        <v>0.185</v>
      </c>
      <c r="D46" s="87" t="str">
        <f>IFERROR(__xludf.DUMMYFUNCTION("""COMPUTED_VALUE"""),"3.70-3.80mm")</f>
        <v>3.70-3.80mm</v>
      </c>
      <c r="E46" s="88">
        <f>IFERROR(__xludf.DUMMYFUNCTION("""COMPUTED_VALUE"""),4673.913043478261)</f>
        <v>4673.913043</v>
      </c>
      <c r="F46" s="50">
        <f>IFERROR(__xludf.DUMMYFUNCTION("""COMPUTED_VALUE"""),6292.391304347826)</f>
        <v>6292.391304</v>
      </c>
      <c r="G46" s="7"/>
      <c r="H46" s="58" t="str">
        <f>IFERROR(__xludf.DUMMYFUNCTION("""COMPUTED_VALUE"""),"3.00*6.00")</f>
        <v>3.00*6.00</v>
      </c>
      <c r="I46" s="46" t="str">
        <f>IFERROR(__xludf.DUMMYFUNCTION("""COMPUTED_VALUE"""),"20 pt")</f>
        <v>20 pt</v>
      </c>
      <c r="J46" s="59">
        <f>IFERROR(__xludf.DUMMYFUNCTION("""COMPUTED_VALUE"""),8369.565217391304)</f>
        <v>8369.565217</v>
      </c>
      <c r="K46" s="7"/>
      <c r="L46" s="105" t="str">
        <f>IFERROR(__xludf.DUMMYFUNCTION("""COMPUTED_VALUE"""),"4.75*6.75")</f>
        <v>4.75*6.75</v>
      </c>
      <c r="M46" s="106" t="str">
        <f>IFERROR(__xludf.DUMMYFUNCTION("""COMPUTED_VALUE"""),"1.00 ct")</f>
        <v>1.00 ct</v>
      </c>
      <c r="N46" s="59">
        <f>IFERROR(__xludf.DUMMYFUNCTION("""COMPUTED_VALUE"""),7065.217391304347)</f>
        <v>7065.217391</v>
      </c>
      <c r="O46" s="7"/>
      <c r="P46" s="58" t="str">
        <f>IFERROR(__xludf.DUMMYFUNCTION("""COMPUTED_VALUE"""),"2.50*3.50*5.00")</f>
        <v>2.50*3.50*5.00</v>
      </c>
      <c r="Q46" s="46" t="str">
        <f>IFERROR(__xludf.DUMMYFUNCTION("""COMPUTED_VALUE"""),"35 pt")</f>
        <v>35 pt</v>
      </c>
      <c r="R46" s="59">
        <f>IFERROR(__xludf.DUMMYFUNCTION("""COMPUTED_VALUE"""),8804.347826086956)</f>
        <v>8804.347826</v>
      </c>
    </row>
    <row r="47">
      <c r="A47" s="62"/>
      <c r="B47" s="108" t="str">
        <f>IFERROR(__xludf.DUMMYFUNCTION("""COMPUTED_VALUE"""),"16.5-17")</f>
        <v>16.5-17</v>
      </c>
      <c r="C47" s="115">
        <f>IFERROR(__xludf.DUMMYFUNCTION("""COMPUTED_VALUE"""),0.2)</f>
        <v>0.2</v>
      </c>
      <c r="D47" s="109" t="str">
        <f>IFERROR(__xludf.DUMMYFUNCTION("""COMPUTED_VALUE"""),"3.80-3.90mm")</f>
        <v>3.80-3.90mm</v>
      </c>
      <c r="E47" s="91">
        <f>IFERROR(__xludf.DUMMYFUNCTION("""COMPUTED_VALUE"""),4673.913043478261)</f>
        <v>4673.913043</v>
      </c>
      <c r="F47" s="68">
        <f>IFERROR(__xludf.DUMMYFUNCTION("""COMPUTED_VALUE"""),6292.391304347826)</f>
        <v>6292.391304</v>
      </c>
      <c r="G47" s="7"/>
      <c r="H47" s="58" t="str">
        <f>IFERROR(__xludf.DUMMYFUNCTION("""COMPUTED_VALUE"""),"3.30*6.50")</f>
        <v>3.30*6.50</v>
      </c>
      <c r="I47" s="46" t="str">
        <f>IFERROR(__xludf.DUMMYFUNCTION("""COMPUTED_VALUE"""),"25 pt")</f>
        <v>25 pt</v>
      </c>
      <c r="J47" s="59">
        <f>IFERROR(__xludf.DUMMYFUNCTION("""COMPUTED_VALUE"""),8478.260869565216)</f>
        <v>8478.26087</v>
      </c>
      <c r="K47" s="7"/>
      <c r="L47" s="105" t="str">
        <f>IFERROR(__xludf.DUMMYFUNCTION("""COMPUTED_VALUE"""),"5.00*7.00")</f>
        <v>5.00*7.00</v>
      </c>
      <c r="M47" s="106" t="str">
        <f>IFERROR(__xludf.DUMMYFUNCTION("""COMPUTED_VALUE"""),"1.15 ct")</f>
        <v>1.15 ct</v>
      </c>
      <c r="N47" s="59">
        <f>IFERROR(__xludf.DUMMYFUNCTION("""COMPUTED_VALUE"""),7173.913043478261)</f>
        <v>7173.913043</v>
      </c>
      <c r="O47" s="7"/>
      <c r="P47" s="58" t="str">
        <f>IFERROR(__xludf.DUMMYFUNCTION("""COMPUTED_VALUE"""),"2.00*3.00*5.50")</f>
        <v>2.00*3.00*5.50</v>
      </c>
      <c r="Q47" s="46" t="str">
        <f>IFERROR(__xludf.DUMMYFUNCTION("""COMPUTED_VALUE"""),"27.5 pt")</f>
        <v>27.5 pt</v>
      </c>
      <c r="R47" s="59">
        <f>IFERROR(__xludf.DUMMYFUNCTION("""COMPUTED_VALUE"""),8804.347826086956)</f>
        <v>8804.347826</v>
      </c>
    </row>
    <row r="48">
      <c r="A48" s="36" t="str">
        <f>IFERROR(__xludf.DUMMYFUNCTION("""COMPUTED_VALUE"""),"25 PT")</f>
        <v>25 PT</v>
      </c>
      <c r="B48" s="92" t="str">
        <f>IFERROR(__xludf.DUMMYFUNCTION("""COMPUTED_VALUE"""),"17-17.5")</f>
        <v>17-17.5</v>
      </c>
      <c r="C48" s="93">
        <f>IFERROR(__xludf.DUMMYFUNCTION("""COMPUTED_VALUE"""),0.22)</f>
        <v>0.22</v>
      </c>
      <c r="D48" s="93" t="str">
        <f>IFERROR(__xludf.DUMMYFUNCTION("""COMPUTED_VALUE"""),"3.90-4.00mm")</f>
        <v>3.90-4.00mm</v>
      </c>
      <c r="E48" s="94">
        <f>IFERROR(__xludf.DUMMYFUNCTION("""COMPUTED_VALUE"""),5543.478260869565)</f>
        <v>5543.478261</v>
      </c>
      <c r="F48" s="42">
        <f>IFERROR(__xludf.DUMMYFUNCTION("""COMPUTED_VALUE"""),6865.217391304347)</f>
        <v>6865.217391</v>
      </c>
      <c r="G48" s="7"/>
      <c r="H48" s="58" t="str">
        <f>IFERROR(__xludf.DUMMYFUNCTION("""COMPUTED_VALUE"""),"3.50*7.00")</f>
        <v>3.50*7.00</v>
      </c>
      <c r="I48" s="46" t="str">
        <f>IFERROR(__xludf.DUMMYFUNCTION("""COMPUTED_VALUE"""),"30 pt")</f>
        <v>30 pt</v>
      </c>
      <c r="J48" s="59">
        <f>IFERROR(__xludf.DUMMYFUNCTION("""COMPUTED_VALUE"""),8695.652173913044)</f>
        <v>8695.652174</v>
      </c>
      <c r="K48" s="7"/>
      <c r="L48" s="105" t="str">
        <f>IFERROR(__xludf.DUMMYFUNCTION("""COMPUTED_VALUE"""),"5.35*7.85")</f>
        <v>5.35*7.85</v>
      </c>
      <c r="M48" s="106" t="str">
        <f>IFERROR(__xludf.DUMMYFUNCTION("""COMPUTED_VALUE"""),"1.50 ct")</f>
        <v>1.50 ct</v>
      </c>
      <c r="N48" s="59">
        <f>IFERROR(__xludf.DUMMYFUNCTION("""COMPUTED_VALUE"""),8369.565217391304)</f>
        <v>8369.565217</v>
      </c>
      <c r="O48" s="7"/>
      <c r="P48" s="58" t="str">
        <f>IFERROR(__xludf.DUMMYFUNCTION("""COMPUTED_VALUE"""),"2.50*3.50*5.50")</f>
        <v>2.50*3.50*5.50</v>
      </c>
      <c r="Q48" s="46" t="str">
        <f>IFERROR(__xludf.DUMMYFUNCTION("""COMPUTED_VALUE"""),"39 pt")</f>
        <v>39 pt</v>
      </c>
      <c r="R48" s="59">
        <f>IFERROR(__xludf.DUMMYFUNCTION("""COMPUTED_VALUE"""),8804.347826086956)</f>
        <v>8804.347826</v>
      </c>
    </row>
    <row r="49">
      <c r="A49" s="45"/>
      <c r="B49" s="95" t="str">
        <f>IFERROR(__xludf.DUMMYFUNCTION("""COMPUTED_VALUE"""),"17.5-18")</f>
        <v>17.5-18</v>
      </c>
      <c r="C49" s="87">
        <f>IFERROR(__xludf.DUMMYFUNCTION("""COMPUTED_VALUE"""),0.23)</f>
        <v>0.23</v>
      </c>
      <c r="D49" s="87" t="str">
        <f>IFERROR(__xludf.DUMMYFUNCTION("""COMPUTED_VALUE"""),"4.00-4.10mm")</f>
        <v>4.00-4.10mm</v>
      </c>
      <c r="E49" s="88">
        <f>IFERROR(__xludf.DUMMYFUNCTION("""COMPUTED_VALUE"""),5869.565217391304)</f>
        <v>5869.565217</v>
      </c>
      <c r="F49" s="50">
        <f>IFERROR(__xludf.DUMMYFUNCTION("""COMPUTED_VALUE"""),6865.217391304347)</f>
        <v>6865.217391</v>
      </c>
      <c r="G49" s="7"/>
      <c r="H49" s="102" t="str">
        <f>IFERROR(__xludf.DUMMYFUNCTION("""COMPUTED_VALUE"""),"4.00*8.00")</f>
        <v>4.00*8.00</v>
      </c>
      <c r="I49" s="63" t="str">
        <f>IFERROR(__xludf.DUMMYFUNCTION("""COMPUTED_VALUE"""),"45 pt")</f>
        <v>45 pt</v>
      </c>
      <c r="J49" s="101">
        <f>IFERROR(__xludf.DUMMYFUNCTION("""COMPUTED_VALUE"""),8695.652173913044)</f>
        <v>8695.652174</v>
      </c>
      <c r="K49" s="7"/>
      <c r="L49" s="105" t="str">
        <f>IFERROR(__xludf.DUMMYFUNCTION("""COMPUTED_VALUE"""),"6.00*8.00")</f>
        <v>6.00*8.00</v>
      </c>
      <c r="M49" s="106" t="str">
        <f>IFERROR(__xludf.DUMMYFUNCTION("""COMPUTED_VALUE"""),"1.85 ct")</f>
        <v>1.85 ct</v>
      </c>
      <c r="N49" s="59">
        <f>IFERROR(__xludf.DUMMYFUNCTION("""COMPUTED_VALUE"""),9021.739130434782)</f>
        <v>9021.73913</v>
      </c>
      <c r="O49" s="7"/>
      <c r="P49" s="58" t="str">
        <f>IFERROR(__xludf.DUMMYFUNCTION("""COMPUTED_VALUE"""),"2.00*3.00*6.00")</f>
        <v>2.00*3.00*6.00</v>
      </c>
      <c r="Q49" s="46" t="str">
        <f>IFERROR(__xludf.DUMMYFUNCTION("""COMPUTED_VALUE"""),"30 pt")</f>
        <v>30 pt</v>
      </c>
      <c r="R49" s="59">
        <f>IFERROR(__xludf.DUMMYFUNCTION("""COMPUTED_VALUE"""),9456.521739130434)</f>
        <v>9456.521739</v>
      </c>
    </row>
    <row r="50">
      <c r="A50" s="62"/>
      <c r="B50" s="108" t="str">
        <f>IFERROR(__xludf.DUMMYFUNCTION("""COMPUTED_VALUE"""),"18-18.5")</f>
        <v>18-18.5</v>
      </c>
      <c r="C50" s="109">
        <f>IFERROR(__xludf.DUMMYFUNCTION("""COMPUTED_VALUE"""),0.25)</f>
        <v>0.25</v>
      </c>
      <c r="D50" s="109" t="str">
        <f>IFERROR(__xludf.DUMMYFUNCTION("""COMPUTED_VALUE"""),"4.10-4.20mm")</f>
        <v>4.10-4.20mm</v>
      </c>
      <c r="E50" s="91">
        <f>IFERROR(__xludf.DUMMYFUNCTION("""COMPUTED_VALUE"""),5543.478260869565)</f>
        <v>5543.478261</v>
      </c>
      <c r="F50" s="68">
        <f>IFERROR(__xludf.DUMMYFUNCTION("""COMPUTED_VALUE"""),6865.217391304347)</f>
        <v>6865.217391</v>
      </c>
      <c r="G50" s="7"/>
      <c r="H50" s="25" t="str">
        <f>IFERROR(__xludf.DUMMYFUNCTION("""COMPUTED_VALUE"""),"4.20*8.20")</f>
        <v>4.20*8.20</v>
      </c>
      <c r="K50" s="7"/>
      <c r="L50" s="58" t="str">
        <f>IFERROR(__xludf.DUMMYFUNCTION("""COMPUTED_VALUE"""),"CUS/枕形")</f>
        <v>CUS/枕形</v>
      </c>
      <c r="M50" s="46"/>
      <c r="N50" s="59"/>
      <c r="O50" s="7"/>
      <c r="P50" s="58" t="str">
        <f>IFERROR(__xludf.DUMMYFUNCTION("""COMPUTED_VALUE"""),"2.50*4.00*6.00")</f>
        <v>2.50*4.00*6.00</v>
      </c>
      <c r="Q50" s="46" t="str">
        <f>IFERROR(__xludf.DUMMYFUNCTION("""COMPUTED_VALUE"""),"52.5 pt")</f>
        <v>52.5 pt</v>
      </c>
      <c r="R50" s="59">
        <f>IFERROR(__xludf.DUMMYFUNCTION("""COMPUTED_VALUE"""),9456.521739130434)</f>
        <v>9456.521739</v>
      </c>
    </row>
    <row r="51">
      <c r="A51" s="36" t="str">
        <f>IFERROR(__xludf.DUMMYFUNCTION("""COMPUTED_VALUE"""),"30 PT")</f>
        <v>30 PT</v>
      </c>
      <c r="B51" s="92" t="str">
        <f>IFERROR(__xludf.DUMMYFUNCTION("""COMPUTED_VALUE"""),"18.5-19")</f>
        <v>18.5-19</v>
      </c>
      <c r="C51" s="93">
        <f>IFERROR(__xludf.DUMMYFUNCTION("""COMPUTED_VALUE"""),0.28)</f>
        <v>0.28</v>
      </c>
      <c r="D51" s="93" t="str">
        <f>IFERROR(__xludf.DUMMYFUNCTION("""COMPUTED_VALUE"""),"4.20-4.30mm")</f>
        <v>4.20-4.30mm</v>
      </c>
      <c r="E51" s="94">
        <f>IFERROR(__xludf.DUMMYFUNCTION("""COMPUTED_VALUE"""),5326.086956521739)</f>
        <v>5326.086957</v>
      </c>
      <c r="F51" s="42">
        <f>IFERROR(__xludf.DUMMYFUNCTION("""COMPUTED_VALUE"""),6865.217391304347)</f>
        <v>6865.217391</v>
      </c>
      <c r="G51" s="7"/>
      <c r="H51" s="51" t="str">
        <f>IFERROR(__xludf.DUMMYFUNCTION("""COMPUTED_VALUE"""),"4.50*9.00")</f>
        <v>4.50*9.00</v>
      </c>
      <c r="I51" s="53" t="str">
        <f>IFERROR(__xludf.DUMMYFUNCTION("""COMPUTED_VALUE"""),"70 pt")</f>
        <v>70 pt</v>
      </c>
      <c r="J51" s="107">
        <f>IFERROR(__xludf.DUMMYFUNCTION("""COMPUTED_VALUE"""),9021.739130434782)</f>
        <v>9021.73913</v>
      </c>
      <c r="K51" s="7"/>
      <c r="L51" s="102" t="str">
        <f>IFERROR(__xludf.DUMMYFUNCTION("""COMPUTED_VALUE"""),"MM SIZE W/L")</f>
        <v>MM SIZE W/L</v>
      </c>
      <c r="M51" s="63" t="str">
        <f>IFERROR(__xludf.DUMMYFUNCTION("""COMPUTED_VALUE"""),"PTS")</f>
        <v>PTS</v>
      </c>
      <c r="N51" s="101" t="str">
        <f>IFERROR(__xludf.DUMMYFUNCTION("""COMPUTED_VALUE"""),"INR/Ct.")</f>
        <v>INR/Ct.</v>
      </c>
      <c r="O51" s="7"/>
      <c r="P51" s="58" t="str">
        <f>IFERROR(__xludf.DUMMYFUNCTION("""COMPUTED_VALUE"""),"2.50*4.00*6.50")</f>
        <v>2.50*4.00*6.50</v>
      </c>
      <c r="Q51" s="46" t="str">
        <f>IFERROR(__xludf.DUMMYFUNCTION("""COMPUTED_VALUE"""),"56 pt")</f>
        <v>56 pt</v>
      </c>
      <c r="R51" s="59">
        <f>IFERROR(__xludf.DUMMYFUNCTION("""COMPUTED_VALUE"""),9456.521739130434)</f>
        <v>9456.521739</v>
      </c>
    </row>
    <row r="52">
      <c r="A52" s="45"/>
      <c r="B52" s="95" t="str">
        <f>IFERROR(__xludf.DUMMYFUNCTION("""COMPUTED_VALUE"""),"19-19.5")</f>
        <v>19-19.5</v>
      </c>
      <c r="C52" s="117">
        <f>IFERROR(__xludf.DUMMYFUNCTION("""COMPUTED_VALUE"""),0.3)</f>
        <v>0.3</v>
      </c>
      <c r="D52" s="87" t="str">
        <f>IFERROR(__xludf.DUMMYFUNCTION("""COMPUTED_VALUE"""),"4.30-4.40mm")</f>
        <v>4.30-4.40mm</v>
      </c>
      <c r="E52" s="88">
        <f>IFERROR(__xludf.DUMMYFUNCTION("""COMPUTED_VALUE"""),5326.086956521739)</f>
        <v>5326.086957</v>
      </c>
      <c r="F52" s="50">
        <f>IFERROR(__xludf.DUMMYFUNCTION("""COMPUTED_VALUE"""),6865.217391304347)</f>
        <v>6865.217391</v>
      </c>
      <c r="G52" s="7"/>
      <c r="H52" s="58" t="str">
        <f>IFERROR(__xludf.DUMMYFUNCTION("""COMPUTED_VALUE"""),"4.65*9.30")</f>
        <v>4.65*9.30</v>
      </c>
      <c r="I52" s="46" t="str">
        <f>IFERROR(__xludf.DUMMYFUNCTION("""COMPUTED_VALUE"""),"70 pt")</f>
        <v>70 pt</v>
      </c>
      <c r="J52" s="59">
        <f>IFERROR(__xludf.DUMMYFUNCTION("""COMPUTED_VALUE"""),9021.739130434782)</f>
        <v>9021.73913</v>
      </c>
      <c r="K52" s="7"/>
      <c r="L52" s="118" t="str">
        <f>IFERROR(__xludf.DUMMYFUNCTION("""COMPUTED_VALUE"""),"3.05*3.05")</f>
        <v>3.05*3.05</v>
      </c>
      <c r="O52" s="7"/>
      <c r="P52" s="58" t="str">
        <f>IFERROR(__xludf.DUMMYFUNCTION("""COMPUTED_VALUE"""),"2.50*3.50*6.50")</f>
        <v>2.50*3.50*6.50</v>
      </c>
      <c r="Q52" s="46" t="str">
        <f>IFERROR(__xludf.DUMMYFUNCTION("""COMPUTED_VALUE"""),"46 pt")</f>
        <v>46 pt</v>
      </c>
      <c r="R52" s="59">
        <f>IFERROR(__xludf.DUMMYFUNCTION("""COMPUTED_VALUE"""),9456.521739130434)</f>
        <v>9456.521739</v>
      </c>
    </row>
    <row r="53">
      <c r="A53" s="62"/>
      <c r="B53" s="108" t="str">
        <f>IFERROR(__xludf.DUMMYFUNCTION("""COMPUTED_VALUE"""),"19.5-20")</f>
        <v>19.5-20</v>
      </c>
      <c r="C53" s="109">
        <f>IFERROR(__xludf.DUMMYFUNCTION("""COMPUTED_VALUE"""),0.33)</f>
        <v>0.33</v>
      </c>
      <c r="D53" s="109" t="str">
        <f>IFERROR(__xludf.DUMMYFUNCTION("""COMPUTED_VALUE"""),"4.40-4.50mm")</f>
        <v>4.40-4.50mm</v>
      </c>
      <c r="E53" s="91">
        <f>IFERROR(__xludf.DUMMYFUNCTION("""COMPUTED_VALUE"""),5217.391304347826)</f>
        <v>5217.391304</v>
      </c>
      <c r="F53" s="68">
        <f>IFERROR(__xludf.DUMMYFUNCTION("""COMPUTED_VALUE"""),6865.217391304347)</f>
        <v>6865.217391</v>
      </c>
      <c r="G53" s="7"/>
      <c r="H53" s="58" t="str">
        <f>IFERROR(__xludf.DUMMYFUNCTION("""COMPUTED_VALUE"""),"5.00*10.00")</f>
        <v>5.00*10.00</v>
      </c>
      <c r="I53" s="46" t="str">
        <f>IFERROR(__xludf.DUMMYFUNCTION("""COMPUTED_VALUE"""),"90 pt")</f>
        <v>90 pt</v>
      </c>
      <c r="J53" s="59">
        <f>IFERROR(__xludf.DUMMYFUNCTION("""COMPUTED_VALUE"""),9130.434782608696)</f>
        <v>9130.434783</v>
      </c>
      <c r="K53" s="7"/>
      <c r="L53" s="119" t="str">
        <f>IFERROR(__xludf.DUMMYFUNCTION("""COMPUTED_VALUE"""),"3.50*3.50")</f>
        <v>3.50*3.50</v>
      </c>
      <c r="M53" s="120" t="str">
        <f>IFERROR(__xludf.DUMMYFUNCTION("""COMPUTED_VALUE"""),"23 pt")</f>
        <v>23 pt</v>
      </c>
      <c r="N53" s="107">
        <f>IFERROR(__xludf.DUMMYFUNCTION("""COMPUTED_VALUE"""),6630.434782608695)</f>
        <v>6630.434783</v>
      </c>
      <c r="O53" s="7"/>
      <c r="P53" s="58" t="str">
        <f>IFERROR(__xludf.DUMMYFUNCTION("""COMPUTED_VALUE"""),"2.50*4.50*6.50")</f>
        <v>2.50*4.50*6.50</v>
      </c>
      <c r="Q53" s="46" t="str">
        <f>IFERROR(__xludf.DUMMYFUNCTION("""COMPUTED_VALUE"""),"59 pt")</f>
        <v>59 pt</v>
      </c>
      <c r="R53" s="59">
        <f>IFERROR(__xludf.DUMMYFUNCTION("""COMPUTED_VALUE"""),9456.521739130434)</f>
        <v>9456.521739</v>
      </c>
    </row>
    <row r="54">
      <c r="A54" s="36" t="str">
        <f>IFERROR(__xludf.DUMMYFUNCTION("""COMPUTED_VALUE"""),"40 PT")</f>
        <v>40 PT</v>
      </c>
      <c r="B54" s="92" t="str">
        <f>IFERROR(__xludf.DUMMYFUNCTION("""COMPUTED_VALUE"""),"19.5-20")</f>
        <v>19.5-20</v>
      </c>
      <c r="C54" s="93">
        <f>IFERROR(__xludf.DUMMYFUNCTION("""COMPUTED_VALUE"""),0.35)</f>
        <v>0.35</v>
      </c>
      <c r="D54" s="93" t="str">
        <f>IFERROR(__xludf.DUMMYFUNCTION("""COMPUTED_VALUE"""),"4.50-4.60mm")</f>
        <v>4.50-4.60mm</v>
      </c>
      <c r="E54" s="94">
        <f>IFERROR(__xludf.DUMMYFUNCTION("""COMPUTED_VALUE"""),5217.391304347826)</f>
        <v>5217.391304</v>
      </c>
      <c r="F54" s="42">
        <f>IFERROR(__xludf.DUMMYFUNCTION("""COMPUTED_VALUE"""),6635.869565217391)</f>
        <v>6635.869565</v>
      </c>
      <c r="G54" s="7"/>
      <c r="H54" s="58" t="str">
        <f>IFERROR(__xludf.DUMMYFUNCTION("""COMPUTED_VALUE"""),"5.25*10.50")</f>
        <v>5.25*10.50</v>
      </c>
      <c r="I54" s="46" t="str">
        <f>IFERROR(__xludf.DUMMYFUNCTION("""COMPUTED_VALUE"""),"1 ct")</f>
        <v>1 ct</v>
      </c>
      <c r="J54" s="59">
        <f>IFERROR(__xludf.DUMMYFUNCTION("""COMPUTED_VALUE"""),10326.086956521738)</f>
        <v>10326.08696</v>
      </c>
      <c r="K54" s="7"/>
      <c r="L54" s="60" t="str">
        <f>IFERROR(__xludf.DUMMYFUNCTION("""COMPUTED_VALUE"""),"3.70*3.70")</f>
        <v>3.70*3.70</v>
      </c>
      <c r="M54" s="61" t="str">
        <f>IFERROR(__xludf.DUMMYFUNCTION("""COMPUTED_VALUE"""),"27 pt")</f>
        <v>27 pt</v>
      </c>
      <c r="N54" s="59">
        <f>IFERROR(__xludf.DUMMYFUNCTION("""COMPUTED_VALUE"""),6630.434782608695)</f>
        <v>6630.434783</v>
      </c>
      <c r="O54" s="7"/>
      <c r="P54" s="58" t="str">
        <f>IFERROR(__xludf.DUMMYFUNCTION("""COMPUTED_VALUE"""),"2.50*3.50*7.00")</f>
        <v>2.50*3.50*7.00</v>
      </c>
      <c r="Q54" s="46" t="str">
        <f>IFERROR(__xludf.DUMMYFUNCTION("""COMPUTED_VALUE"""),"48 pt")</f>
        <v>48 pt</v>
      </c>
      <c r="R54" s="59">
        <f>IFERROR(__xludf.DUMMYFUNCTION("""COMPUTED_VALUE"""),10869.565217391304)</f>
        <v>10869.56522</v>
      </c>
    </row>
    <row r="55">
      <c r="A55" s="45"/>
      <c r="B55" s="95" t="str">
        <f>IFERROR(__xludf.DUMMYFUNCTION("""COMPUTED_VALUE"""),"20-20.5")</f>
        <v>20-20.5</v>
      </c>
      <c r="C55" s="122"/>
      <c r="D55" s="87" t="str">
        <f>IFERROR(__xludf.DUMMYFUNCTION("""COMPUTED_VALUE"""),"4.60-4.70mm")</f>
        <v>4.60-4.70mm</v>
      </c>
      <c r="E55" s="88">
        <f>IFERROR(__xludf.DUMMYFUNCTION("""COMPUTED_VALUE"""),5217.391304347826)</f>
        <v>5217.391304</v>
      </c>
      <c r="F55" s="50">
        <f>IFERROR(__xludf.DUMMYFUNCTION("""COMPUTED_VALUE"""),6635.869565217391)</f>
        <v>6635.869565</v>
      </c>
      <c r="G55" s="7"/>
      <c r="H55" s="58" t="str">
        <f>IFERROR(__xludf.DUMMYFUNCTION("""COMPUTED_VALUE"""),"OVAL/椭圆")</f>
        <v>OVAL/椭圆</v>
      </c>
      <c r="I55" s="46"/>
      <c r="J55" s="59"/>
      <c r="K55" s="7"/>
      <c r="L55" s="60" t="str">
        <f>IFERROR(__xludf.DUMMYFUNCTION("""COMPUTED_VALUE"""),"3.90*3.90")</f>
        <v>3.90*3.90</v>
      </c>
      <c r="M55" s="61" t="str">
        <f>IFERROR(__xludf.DUMMYFUNCTION("""COMPUTED_VALUE"""),"30 pt")</f>
        <v>30 pt</v>
      </c>
      <c r="N55" s="59">
        <f>IFERROR(__xludf.DUMMYFUNCTION("""COMPUTED_VALUE"""),6630.434782608695)</f>
        <v>6630.434783</v>
      </c>
      <c r="O55" s="7"/>
      <c r="P55" s="58" t="str">
        <f>IFERROR(__xludf.DUMMYFUNCTION("""COMPUTED_VALUE"""),"2.50*4.00*7.00")</f>
        <v>2.50*4.00*7.00</v>
      </c>
      <c r="Q55" s="46" t="str">
        <f>IFERROR(__xludf.DUMMYFUNCTION("""COMPUTED_VALUE"""),"50 pt")</f>
        <v>50 pt</v>
      </c>
      <c r="R55" s="59">
        <f>IFERROR(__xludf.DUMMYFUNCTION("""COMPUTED_VALUE"""),10869.565217391304)</f>
        <v>10869.56522</v>
      </c>
    </row>
    <row r="56">
      <c r="A56" s="45"/>
      <c r="B56" s="95" t="str">
        <f>IFERROR(__xludf.DUMMYFUNCTION("""COMPUTED_VALUE"""),"20-20.5")</f>
        <v>20-20.5</v>
      </c>
      <c r="C56" s="122"/>
      <c r="D56" s="87" t="str">
        <f>IFERROR(__xludf.DUMMYFUNCTION("""COMPUTED_VALUE"""),"4.70-4.80mm")</f>
        <v>4.70-4.80mm</v>
      </c>
      <c r="E56" s="88">
        <f>IFERROR(__xludf.DUMMYFUNCTION("""COMPUTED_VALUE"""),5217.391304347826)</f>
        <v>5217.391304</v>
      </c>
      <c r="F56" s="50">
        <f>IFERROR(__xludf.DUMMYFUNCTION("""COMPUTED_VALUE"""),6635.869565217391)</f>
        <v>6635.869565</v>
      </c>
      <c r="G56" s="7"/>
      <c r="H56" s="58" t="str">
        <f>IFERROR(__xludf.DUMMYFUNCTION("""COMPUTED_VALUE"""),"MM SIZE W/L")</f>
        <v>MM SIZE W/L</v>
      </c>
      <c r="I56" s="46" t="str">
        <f>IFERROR(__xludf.DUMMYFUNCTION("""COMPUTED_VALUE"""),"PTS")</f>
        <v>PTS</v>
      </c>
      <c r="J56" s="59" t="str">
        <f>IFERROR(__xludf.DUMMYFUNCTION("""COMPUTED_VALUE"""),"INR/Ct.")</f>
        <v>INR/Ct.</v>
      </c>
      <c r="K56" s="7"/>
      <c r="L56" s="60" t="str">
        <f>IFERROR(__xludf.DUMMYFUNCTION("""COMPUTED_VALUE"""),"4.00*4.00")</f>
        <v>4.00*4.00</v>
      </c>
      <c r="M56" s="61" t="str">
        <f>IFERROR(__xludf.DUMMYFUNCTION("""COMPUTED_VALUE"""),"33 pt")</f>
        <v>33 pt</v>
      </c>
      <c r="N56" s="59">
        <f>IFERROR(__xludf.DUMMYFUNCTION("""COMPUTED_VALUE"""),6630.434782608695)</f>
        <v>6630.434783</v>
      </c>
      <c r="O56" s="7"/>
      <c r="P56" s="58" t="str">
        <f>IFERROR(__xludf.DUMMYFUNCTION("""COMPUTED_VALUE"""),"3.00*4.50*7.50")</f>
        <v>3.00*4.50*7.50</v>
      </c>
      <c r="Q56" s="46" t="str">
        <f>IFERROR(__xludf.DUMMYFUNCTION("""COMPUTED_VALUE"""),"79 pt")</f>
        <v>79 pt</v>
      </c>
      <c r="R56" s="59">
        <f>IFERROR(__xludf.DUMMYFUNCTION("""COMPUTED_VALUE"""),10869.565217391304)</f>
        <v>10869.56522</v>
      </c>
    </row>
    <row r="57">
      <c r="A57" s="45"/>
      <c r="B57" s="95" t="str">
        <f>IFERROR(__xludf.DUMMYFUNCTION("""COMPUTED_VALUE"""),"20.5-21")</f>
        <v>20.5-21</v>
      </c>
      <c r="C57" s="122"/>
      <c r="D57" s="87" t="str">
        <f>IFERROR(__xludf.DUMMYFUNCTION("""COMPUTED_VALUE"""),"4.80-4.90mm")</f>
        <v>4.80-4.90mm</v>
      </c>
      <c r="E57" s="88">
        <f>IFERROR(__xludf.DUMMYFUNCTION("""COMPUTED_VALUE"""),5217.391304347826)</f>
        <v>5217.391304</v>
      </c>
      <c r="F57" s="50">
        <f>IFERROR(__xludf.DUMMYFUNCTION("""COMPUTED_VALUE"""),6635.869565217391)</f>
        <v>6635.869565</v>
      </c>
      <c r="G57" s="7"/>
      <c r="H57" s="58" t="str">
        <f>IFERROR(__xludf.DUMMYFUNCTION("""COMPUTED_VALUE"""),"1.50*2.50")</f>
        <v>1.50*2.50</v>
      </c>
      <c r="I57" s="46" t="str">
        <f>IFERROR(__xludf.DUMMYFUNCTION("""COMPUTED_VALUE"""),"2 pt")</f>
        <v>2 pt</v>
      </c>
      <c r="J57" s="59">
        <f>IFERROR(__xludf.DUMMYFUNCTION("""COMPUTED_VALUE"""),12934.782608695652)</f>
        <v>12934.78261</v>
      </c>
      <c r="K57" s="7"/>
      <c r="L57" s="60" t="str">
        <f>IFERROR(__xludf.DUMMYFUNCTION("""COMPUTED_VALUE"""),"4.65*4.65")</f>
        <v>4.65*4.65</v>
      </c>
      <c r="M57" s="61" t="str">
        <f>IFERROR(__xludf.DUMMYFUNCTION("""COMPUTED_VALUE"""),"50 pt")</f>
        <v>50 pt</v>
      </c>
      <c r="N57" s="59">
        <f>IFERROR(__xludf.DUMMYFUNCTION("""COMPUTED_VALUE"""),7500.0)</f>
        <v>7500</v>
      </c>
      <c r="O57" s="7"/>
      <c r="P57" s="102" t="str">
        <f>IFERROR(__xludf.DUMMYFUNCTION("""COMPUTED_VALUE"""),"3.00*5.00*8.00")</f>
        <v>3.00*5.00*8.00</v>
      </c>
      <c r="Q57" s="63" t="str">
        <f>IFERROR(__xludf.DUMMYFUNCTION("""COMPUTED_VALUE"""),"1.05 ct")</f>
        <v>1.05 ct</v>
      </c>
      <c r="R57" s="101">
        <f>IFERROR(__xludf.DUMMYFUNCTION("""COMPUTED_VALUE"""),10869.565217391304)</f>
        <v>10869.56522</v>
      </c>
    </row>
    <row r="58">
      <c r="A58" s="62"/>
      <c r="B58" s="108" t="str">
        <f>IFERROR(__xludf.DUMMYFUNCTION("""COMPUTED_VALUE"""),"20.5-21")</f>
        <v>20.5-21</v>
      </c>
      <c r="C58" s="124"/>
      <c r="D58" s="109" t="str">
        <f>IFERROR(__xludf.DUMMYFUNCTION("""COMPUTED_VALUE"""),"4.90-5.00mm")</f>
        <v>4.90-5.00mm</v>
      </c>
      <c r="E58" s="91">
        <f>IFERROR(__xludf.DUMMYFUNCTION("""COMPUTED_VALUE"""),5434.782608695652)</f>
        <v>5434.782609</v>
      </c>
      <c r="F58" s="68">
        <f>IFERROR(__xludf.DUMMYFUNCTION("""COMPUTED_VALUE"""),6635.869565217391)</f>
        <v>6635.869565</v>
      </c>
      <c r="G58" s="7"/>
      <c r="H58" s="58" t="str">
        <f>IFERROR(__xludf.DUMMYFUNCTION("""COMPUTED_VALUE"""),"1.80*2.80")</f>
        <v>1.80*2.80</v>
      </c>
      <c r="I58" s="46" t="str">
        <f>IFERROR(__xludf.DUMMYFUNCTION("""COMPUTED_VALUE"""),"4 pt")</f>
        <v>4 pt</v>
      </c>
      <c r="J58" s="59">
        <f>IFERROR(__xludf.DUMMYFUNCTION("""COMPUTED_VALUE"""),10543.478260869564)</f>
        <v>10543.47826</v>
      </c>
      <c r="K58" s="7"/>
      <c r="L58" s="60" t="str">
        <f>IFERROR(__xludf.DUMMYFUNCTION("""COMPUTED_VALUE"""),"5.15*5.15")</f>
        <v>5.15*5.15</v>
      </c>
      <c r="M58" s="61" t="str">
        <f>IFERROR(__xludf.DUMMYFUNCTION("""COMPUTED_VALUE"""),"70 pt")</f>
        <v>70 pt</v>
      </c>
      <c r="N58" s="59">
        <f>IFERROR(__xludf.DUMMYFUNCTION("""COMPUTED_VALUE"""),6847.826086956521)</f>
        <v>6847.826087</v>
      </c>
      <c r="O58" s="7"/>
      <c r="P58" s="25" t="str">
        <f>IFERROR(__xludf.DUMMYFUNCTION("""COMPUTED_VALUE"""),"RAD/雷迪恩")</f>
        <v>RAD/雷迪恩</v>
      </c>
    </row>
    <row r="59">
      <c r="A59" s="125"/>
      <c r="B59" s="126" t="str">
        <f>IFERROR(__xludf.DUMMYFUNCTION("""COMPUTED_VALUE"""),"5.00-5.10mm")</f>
        <v>5.00-5.10mm</v>
      </c>
      <c r="C59" s="127"/>
      <c r="D59" s="126" t="str">
        <f>IFERROR(__xludf.DUMMYFUNCTION("""COMPUTED_VALUE"""),"5.00-5.10mm")</f>
        <v>5.00-5.10mm</v>
      </c>
      <c r="E59" s="128">
        <f>IFERROR(__xludf.DUMMYFUNCTION("""COMPUTED_VALUE"""),5869.565217391304)</f>
        <v>5869.565217</v>
      </c>
      <c r="F59" s="130" t="str">
        <f>IFERROR(__xludf.DUMMYFUNCTION("""COMPUTED_VALUE"""),"-")</f>
        <v>-</v>
      </c>
      <c r="G59" s="7"/>
      <c r="H59" s="58" t="str">
        <f>IFERROR(__xludf.DUMMYFUNCTION("""COMPUTED_VALUE"""),"2.00*3.00")</f>
        <v>2.00*3.00</v>
      </c>
      <c r="I59" s="46" t="str">
        <f>IFERROR(__xludf.DUMMYFUNCTION("""COMPUTED_VALUE"""),"5 pt")</f>
        <v>5 pt</v>
      </c>
      <c r="J59" s="59">
        <f>IFERROR(__xludf.DUMMYFUNCTION("""COMPUTED_VALUE"""),7391.304347826087)</f>
        <v>7391.304348</v>
      </c>
      <c r="K59" s="7"/>
      <c r="L59" s="60" t="str">
        <f>IFERROR(__xludf.DUMMYFUNCTION("""COMPUTED_VALUE"""),"5.80*5.80")</f>
        <v>5.80*5.80</v>
      </c>
      <c r="M59" s="61" t="str">
        <f>IFERROR(__xludf.DUMMYFUNCTION("""COMPUTED_VALUE"""),"1.00 ct")</f>
        <v>1.00 ct</v>
      </c>
      <c r="N59" s="59">
        <f>IFERROR(__xludf.DUMMYFUNCTION("""COMPUTED_VALUE"""),7500.0)</f>
        <v>7500</v>
      </c>
      <c r="O59" s="7"/>
      <c r="P59" s="51" t="str">
        <f>IFERROR(__xludf.DUMMYFUNCTION("""COMPUTED_VALUE"""),"MM SIZE W/L")</f>
        <v>MM SIZE W/L</v>
      </c>
      <c r="Q59" s="53" t="str">
        <f>IFERROR(__xludf.DUMMYFUNCTION("""COMPUTED_VALUE"""),"PTS")</f>
        <v>PTS</v>
      </c>
      <c r="R59" s="54" t="str">
        <f>IFERROR(__xludf.DUMMYFUNCTION("""COMPUTED_VALUE"""),"INR/Ct.")</f>
        <v>INR/Ct.</v>
      </c>
    </row>
    <row r="60">
      <c r="A60" s="45"/>
      <c r="B60" s="56" t="str">
        <f>IFERROR(__xludf.DUMMYFUNCTION("""COMPUTED_VALUE"""),"5.50-5.60mm")</f>
        <v>5.50-5.60mm</v>
      </c>
      <c r="C60" s="131"/>
      <c r="D60" s="56" t="str">
        <f>IFERROR(__xludf.DUMMYFUNCTION("""COMPUTED_VALUE"""),"5.50-5.60mm")</f>
        <v>5.50-5.60mm</v>
      </c>
      <c r="E60" s="132">
        <f>IFERROR(__xludf.DUMMYFUNCTION("""COMPUTED_VALUE"""),5543.478260869565)</f>
        <v>5543.478261</v>
      </c>
      <c r="F60" s="134" t="str">
        <f>IFERROR(__xludf.DUMMYFUNCTION("""COMPUTED_VALUE"""),"-")</f>
        <v>-</v>
      </c>
      <c r="G60" s="7"/>
      <c r="H60" s="58" t="str">
        <f>IFERROR(__xludf.DUMMYFUNCTION("""COMPUTED_VALUE"""),"2.50*3.50")</f>
        <v>2.50*3.50</v>
      </c>
      <c r="I60" s="46" t="str">
        <f>IFERROR(__xludf.DUMMYFUNCTION("""COMPUTED_VALUE"""),"9 pt")</f>
        <v>9 pt</v>
      </c>
      <c r="J60" s="59">
        <f>IFERROR(__xludf.DUMMYFUNCTION("""COMPUTED_VALUE"""),5978.260869565217)</f>
        <v>5978.26087</v>
      </c>
      <c r="K60" s="7"/>
      <c r="L60" s="60" t="str">
        <f>IFERROR(__xludf.DUMMYFUNCTION("""COMPUTED_VALUE"""),"ASC/阿斯切")</f>
        <v>ASC/阿斯切</v>
      </c>
      <c r="M60" s="61"/>
      <c r="N60" s="59"/>
      <c r="O60" s="7"/>
      <c r="P60" s="58" t="str">
        <f>IFERROR(__xludf.DUMMYFUNCTION("""COMPUTED_VALUE"""),"2.20*3.00")</f>
        <v>2.20*3.00</v>
      </c>
      <c r="Q60" s="46" t="str">
        <f>IFERROR(__xludf.DUMMYFUNCTION("""COMPUTED_VALUE"""),"10 pt")</f>
        <v>10 pt</v>
      </c>
      <c r="R60" s="59">
        <f>IFERROR(__xludf.DUMMYFUNCTION("""COMPUTED_VALUE"""),7065.217391304347)</f>
        <v>7065.217391</v>
      </c>
    </row>
    <row r="61">
      <c r="A61" s="45"/>
      <c r="B61" s="56" t="str">
        <f>IFERROR(__xludf.DUMMYFUNCTION("""COMPUTED_VALUE"""),"6.00-6.10mm")</f>
        <v>6.00-6.10mm</v>
      </c>
      <c r="C61" s="131"/>
      <c r="D61" s="56" t="str">
        <f>IFERROR(__xludf.DUMMYFUNCTION("""COMPUTED_VALUE"""),"6.00-6.10mm")</f>
        <v>6.00-6.10mm</v>
      </c>
      <c r="E61" s="132">
        <f>IFERROR(__xludf.DUMMYFUNCTION("""COMPUTED_VALUE"""),5652.173913043478)</f>
        <v>5652.173913</v>
      </c>
      <c r="F61" s="134" t="str">
        <f>IFERROR(__xludf.DUMMYFUNCTION("""COMPUTED_VALUE"""),"-")</f>
        <v>-</v>
      </c>
      <c r="G61" s="7"/>
      <c r="H61" s="58" t="str">
        <f>IFERROR(__xludf.DUMMYFUNCTION("""COMPUTED_VALUE"""),"2.60*3.70")</f>
        <v>2.60*3.70</v>
      </c>
      <c r="I61" s="46" t="str">
        <f>IFERROR(__xludf.DUMMYFUNCTION("""COMPUTED_VALUE"""),"10 pt")</f>
        <v>10 pt</v>
      </c>
      <c r="J61" s="59">
        <f>IFERROR(__xludf.DUMMYFUNCTION("""COMPUTED_VALUE"""),6413.043478260869)</f>
        <v>6413.043478</v>
      </c>
      <c r="K61" s="7"/>
      <c r="L61" s="60" t="str">
        <f>IFERROR(__xludf.DUMMYFUNCTION("""COMPUTED_VALUE"""),"MM SIZE W/L")</f>
        <v>MM SIZE W/L</v>
      </c>
      <c r="M61" s="61" t="str">
        <f>IFERROR(__xludf.DUMMYFUNCTION("""COMPUTED_VALUE"""),"PTS")</f>
        <v>PTS</v>
      </c>
      <c r="N61" s="59" t="str">
        <f>IFERROR(__xludf.DUMMYFUNCTION("""COMPUTED_VALUE"""),"INR/Ct.")</f>
        <v>INR/Ct.</v>
      </c>
      <c r="O61" s="7"/>
      <c r="P61" s="58" t="str">
        <f>IFERROR(__xludf.DUMMYFUNCTION("""COMPUTED_VALUE"""),"2.50*3.50")</f>
        <v>2.50*3.50</v>
      </c>
      <c r="Q61" s="46" t="str">
        <f>IFERROR(__xludf.DUMMYFUNCTION("""COMPUTED_VALUE"""),"15 pt")</f>
        <v>15 pt</v>
      </c>
      <c r="R61" s="59">
        <f>IFERROR(__xludf.DUMMYFUNCTION("""COMPUTED_VALUE"""),6630.434782608695)</f>
        <v>6630.434783</v>
      </c>
    </row>
    <row r="62">
      <c r="A62" s="45"/>
      <c r="B62" s="56" t="str">
        <f>IFERROR(__xludf.DUMMYFUNCTION("""COMPUTED_VALUE"""),"6.50-6.60mm")</f>
        <v>6.50-6.60mm</v>
      </c>
      <c r="C62" s="131"/>
      <c r="D62" s="56" t="str">
        <f>IFERROR(__xludf.DUMMYFUNCTION("""COMPUTED_VALUE"""),"6.50-6.60mm")</f>
        <v>6.50-6.60mm</v>
      </c>
      <c r="E62" s="132">
        <f>IFERROR(__xludf.DUMMYFUNCTION("""COMPUTED_VALUE"""),7065.217391304347)</f>
        <v>7065.217391</v>
      </c>
      <c r="F62" s="134" t="str">
        <f>IFERROR(__xludf.DUMMYFUNCTION("""COMPUTED_VALUE"""),"-")</f>
        <v>-</v>
      </c>
      <c r="G62" s="7"/>
      <c r="H62" s="58" t="str">
        <f>IFERROR(__xludf.DUMMYFUNCTION("""COMPUTED_VALUE"""),"3.00*4.00")</f>
        <v>3.00*4.00</v>
      </c>
      <c r="I62" s="46" t="str">
        <f>IFERROR(__xludf.DUMMYFUNCTION("""COMPUTED_VALUE"""),"15 pt")</f>
        <v>15 pt</v>
      </c>
      <c r="J62" s="59">
        <f>IFERROR(__xludf.DUMMYFUNCTION("""COMPUTED_VALUE"""),7173.913043478261)</f>
        <v>7173.913043</v>
      </c>
      <c r="K62" s="7"/>
      <c r="L62" s="60" t="str">
        <f>IFERROR(__xludf.DUMMYFUNCTION("""COMPUTED_VALUE"""),"3.00*3.00")</f>
        <v>3.00*3.00</v>
      </c>
      <c r="M62" s="61" t="str">
        <f>IFERROR(__xludf.DUMMYFUNCTION("""COMPUTED_VALUE"""),"17 pt")</f>
        <v>17 pt</v>
      </c>
      <c r="N62" s="59">
        <f>IFERROR(__xludf.DUMMYFUNCTION("""COMPUTED_VALUE"""),6630.434782608695)</f>
        <v>6630.434783</v>
      </c>
      <c r="O62" s="7"/>
      <c r="P62" s="58" t="str">
        <f>IFERROR(__xludf.DUMMYFUNCTION("""COMPUTED_VALUE"""),"3.00*4.00")</f>
        <v>3.00*4.00</v>
      </c>
      <c r="Q62" s="46" t="str">
        <f>IFERROR(__xludf.DUMMYFUNCTION("""COMPUTED_VALUE"""),"20 pt")</f>
        <v>20 pt</v>
      </c>
      <c r="R62" s="59">
        <f>IFERROR(__xludf.DUMMYFUNCTION("""COMPUTED_VALUE"""),7391.304347826087)</f>
        <v>7391.304348</v>
      </c>
    </row>
    <row r="63">
      <c r="A63" s="62"/>
      <c r="B63" s="135" t="str">
        <f>IFERROR(__xludf.DUMMYFUNCTION("""COMPUTED_VALUE"""),"7.00-7.10mm")</f>
        <v>7.00-7.10mm</v>
      </c>
      <c r="C63" s="136"/>
      <c r="D63" s="135" t="str">
        <f>IFERROR(__xludf.DUMMYFUNCTION("""COMPUTED_VALUE"""),"7.00-7.10mm")</f>
        <v>7.00-7.10mm</v>
      </c>
      <c r="E63" s="137">
        <f>IFERROR(__xludf.DUMMYFUNCTION("""COMPUTED_VALUE"""),6413.043478260869)</f>
        <v>6413.043478</v>
      </c>
      <c r="F63" s="138" t="str">
        <f>IFERROR(__xludf.DUMMYFUNCTION("""COMPUTED_VALUE"""),"-")</f>
        <v>-</v>
      </c>
      <c r="G63" s="7"/>
      <c r="H63" s="58" t="str">
        <f>IFERROR(__xludf.DUMMYFUNCTION("""COMPUTED_VALUE"""),"3.00*4.50")</f>
        <v>3.00*4.50</v>
      </c>
      <c r="I63" s="46" t="str">
        <f>IFERROR(__xludf.DUMMYFUNCTION("""COMPUTED_VALUE"""),"17 pt")</f>
        <v>17 pt</v>
      </c>
      <c r="J63" s="59">
        <f>IFERROR(__xludf.DUMMYFUNCTION("""COMPUTED_VALUE"""),6195.652173913043)</f>
        <v>6195.652174</v>
      </c>
      <c r="K63" s="7"/>
      <c r="L63" s="60" t="str">
        <f>IFERROR(__xludf.DUMMYFUNCTION("""COMPUTED_VALUE"""),"3.15*3.15")</f>
        <v>3.15*3.15</v>
      </c>
      <c r="M63" s="61" t="str">
        <f>IFERROR(__xludf.DUMMYFUNCTION("""COMPUTED_VALUE"""),"20 pt")</f>
        <v>20 pt</v>
      </c>
      <c r="N63" s="59">
        <f>IFERROR(__xludf.DUMMYFUNCTION("""COMPUTED_VALUE"""),6630.434782608695)</f>
        <v>6630.434783</v>
      </c>
      <c r="O63" s="7"/>
      <c r="P63" s="58" t="str">
        <f>IFERROR(__xludf.DUMMYFUNCTION("""COMPUTED_VALUE"""),"3.00*5.00")</f>
        <v>3.00*5.00</v>
      </c>
      <c r="Q63" s="46" t="str">
        <f>IFERROR(__xludf.DUMMYFUNCTION("""COMPUTED_VALUE"""),"27 pt")</f>
        <v>27 pt</v>
      </c>
      <c r="R63" s="59">
        <f>IFERROR(__xludf.DUMMYFUNCTION("""COMPUTED_VALUE"""),7065.217391304347)</f>
        <v>7065.217391</v>
      </c>
    </row>
    <row r="64">
      <c r="A64" s="36" t="str">
        <f>IFERROR(__xludf.DUMMYFUNCTION("""COMPUTED_VALUE"""),"50'S")</f>
        <v>50'S</v>
      </c>
      <c r="B64" s="140"/>
      <c r="C64" s="92" t="str">
        <f>IFERROR(__xludf.DUMMYFUNCTION("""COMPUTED_VALUE"""),"50-54 pts")</f>
        <v>50-54 pts</v>
      </c>
      <c r="D64" s="92" t="str">
        <f>IFERROR(__xludf.DUMMYFUNCTION("""COMPUTED_VALUE"""),"5.00-5.20mm")</f>
        <v>5.00-5.20mm</v>
      </c>
      <c r="E64" s="94">
        <f>IFERROR(__xludf.DUMMYFUNCTION("""COMPUTED_VALUE"""),5760.869565217391)</f>
        <v>5760.869565</v>
      </c>
      <c r="F64" s="141">
        <f>IFERROR(__xludf.DUMMYFUNCTION("""COMPUTED_VALUE"""),7065.217391304347)</f>
        <v>7065.217391</v>
      </c>
      <c r="G64" s="7"/>
      <c r="H64" s="58" t="str">
        <f>IFERROR(__xludf.DUMMYFUNCTION("""COMPUTED_VALUE"""),"3.00*5.00")</f>
        <v>3.00*5.00</v>
      </c>
      <c r="I64" s="46" t="str">
        <f>IFERROR(__xludf.DUMMYFUNCTION("""COMPUTED_VALUE"""),"18 pt")</f>
        <v>18 pt</v>
      </c>
      <c r="J64" s="59">
        <f>IFERROR(__xludf.DUMMYFUNCTION("""COMPUTED_VALUE"""),7065.217391304347)</f>
        <v>7065.217391</v>
      </c>
      <c r="K64" s="7"/>
      <c r="L64" s="60" t="str">
        <f>IFERROR(__xludf.DUMMYFUNCTION("""COMPUTED_VALUE"""),"3.50*3.50")</f>
        <v>3.50*3.50</v>
      </c>
      <c r="M64" s="61" t="str">
        <f>IFERROR(__xludf.DUMMYFUNCTION("""COMPUTED_VALUE"""),"27 pt")</f>
        <v>27 pt</v>
      </c>
      <c r="N64" s="59">
        <f>IFERROR(__xludf.DUMMYFUNCTION("""COMPUTED_VALUE"""),6630.434782608695)</f>
        <v>6630.434783</v>
      </c>
      <c r="O64" s="7"/>
      <c r="P64" s="58" t="str">
        <f>IFERROR(__xludf.DUMMYFUNCTION("""COMPUTED_VALUE"""),"3.20*4.40")</f>
        <v>3.20*4.40</v>
      </c>
      <c r="Q64" s="46" t="str">
        <f>IFERROR(__xludf.DUMMYFUNCTION("""COMPUTED_VALUE"""),"30 pt")</f>
        <v>30 pt</v>
      </c>
      <c r="R64" s="59">
        <f>IFERROR(__xludf.DUMMYFUNCTION("""COMPUTED_VALUE"""),7608.695652173913)</f>
        <v>7608.695652</v>
      </c>
    </row>
    <row r="65">
      <c r="A65" s="62"/>
      <c r="B65" s="142"/>
      <c r="C65" s="108" t="str">
        <f>IFERROR(__xludf.DUMMYFUNCTION("""COMPUTED_VALUE"""),"55-59 pts")</f>
        <v>55-59 pts</v>
      </c>
      <c r="D65" s="108" t="str">
        <f>IFERROR(__xludf.DUMMYFUNCTION("""COMPUTED_VALUE"""),"5.20-5.35mm")</f>
        <v>5.20-5.35mm</v>
      </c>
      <c r="E65" s="91">
        <f>IFERROR(__xludf.DUMMYFUNCTION("""COMPUTED_VALUE"""),5434.782608695652)</f>
        <v>5434.782609</v>
      </c>
      <c r="F65" s="143">
        <f>IFERROR(__xludf.DUMMYFUNCTION("""COMPUTED_VALUE"""),7065.217391304347)</f>
        <v>7065.217391</v>
      </c>
      <c r="G65" s="7"/>
      <c r="H65" s="58" t="str">
        <f>IFERROR(__xludf.DUMMYFUNCTION("""COMPUTED_VALUE"""),"3.25*4.55")</f>
        <v>3.25*4.55</v>
      </c>
      <c r="I65" s="46" t="str">
        <f>IFERROR(__xludf.DUMMYFUNCTION("""COMPUTED_VALUE"""),"20 pt")</f>
        <v>20 pt</v>
      </c>
      <c r="J65" s="59">
        <f>IFERROR(__xludf.DUMMYFUNCTION("""COMPUTED_VALUE"""),6521.739130434782)</f>
        <v>6521.73913</v>
      </c>
      <c r="K65" s="7"/>
      <c r="L65" s="60" t="str">
        <f>IFERROR(__xludf.DUMMYFUNCTION("""COMPUTED_VALUE"""),"3.70*3.70")</f>
        <v>3.70*3.70</v>
      </c>
      <c r="M65" s="61" t="str">
        <f>IFERROR(__xludf.DUMMYFUNCTION("""COMPUTED_VALUE"""),"30 pt")</f>
        <v>30 pt</v>
      </c>
      <c r="N65" s="59">
        <f>IFERROR(__xludf.DUMMYFUNCTION("""COMPUTED_VALUE"""),6630.434782608695)</f>
        <v>6630.434783</v>
      </c>
      <c r="O65" s="7"/>
      <c r="P65" s="58" t="str">
        <f>IFERROR(__xludf.DUMMYFUNCTION("""COMPUTED_VALUE"""),"3.35*4.70")</f>
        <v>3.35*4.70</v>
      </c>
      <c r="Q65" s="46" t="str">
        <f>IFERROR(__xludf.DUMMYFUNCTION("""COMPUTED_VALUE"""),"30 pt")</f>
        <v>30 pt</v>
      </c>
      <c r="R65" s="59">
        <f>IFERROR(__xludf.DUMMYFUNCTION("""COMPUTED_VALUE"""),7065.217391304347)</f>
        <v>7065.217391</v>
      </c>
    </row>
    <row r="66">
      <c r="A66" s="36" t="str">
        <f>IFERROR(__xludf.DUMMYFUNCTION("""COMPUTED_VALUE"""),"60'S")</f>
        <v>60'S</v>
      </c>
      <c r="B66" s="140"/>
      <c r="C66" s="92" t="str">
        <f>IFERROR(__xludf.DUMMYFUNCTION("""COMPUTED_VALUE"""),"60-64 pts")</f>
        <v>60-64 pts</v>
      </c>
      <c r="D66" s="92" t="str">
        <f>IFERROR(__xludf.DUMMYFUNCTION("""COMPUTED_VALUE"""),"5.40-5.55mm")</f>
        <v>5.40-5.55mm</v>
      </c>
      <c r="E66" s="94">
        <f>IFERROR(__xludf.DUMMYFUNCTION("""COMPUTED_VALUE"""),5543.478260869565)</f>
        <v>5543.478261</v>
      </c>
      <c r="F66" s="141">
        <f>IFERROR(__xludf.DUMMYFUNCTION("""COMPUTED_VALUE"""),7065.217391304347)</f>
        <v>7065.217391</v>
      </c>
      <c r="G66" s="7"/>
      <c r="H66" s="58" t="str">
        <f>IFERROR(__xludf.DUMMYFUNCTION("""COMPUTED_VALUE"""),"3.35*4.70")</f>
        <v>3.35*4.70</v>
      </c>
      <c r="I66" s="46" t="str">
        <f>IFERROR(__xludf.DUMMYFUNCTION("""COMPUTED_VALUE"""),"20 pt")</f>
        <v>20 pt</v>
      </c>
      <c r="J66" s="59">
        <f>IFERROR(__xludf.DUMMYFUNCTION("""COMPUTED_VALUE"""),6630.434782608695)</f>
        <v>6630.434783</v>
      </c>
      <c r="K66" s="7"/>
      <c r="L66" s="60" t="str">
        <f>IFERROR(__xludf.DUMMYFUNCTION("""COMPUTED_VALUE"""),"4.35*4.35")</f>
        <v>4.35*4.35</v>
      </c>
      <c r="M66" s="61" t="str">
        <f>IFERROR(__xludf.DUMMYFUNCTION("""COMPUTED_VALUE"""),"50 pt")</f>
        <v>50 pt</v>
      </c>
      <c r="N66" s="59">
        <f>IFERROR(__xludf.DUMMYFUNCTION("""COMPUTED_VALUE"""),7065.217391304347)</f>
        <v>7065.217391</v>
      </c>
      <c r="O66" s="7"/>
      <c r="P66" s="58" t="str">
        <f>IFERROR(__xludf.DUMMYFUNCTION("""COMPUTED_VALUE"""),"3.50*5.00")</f>
        <v>3.50*5.00</v>
      </c>
      <c r="Q66" s="46" t="str">
        <f>IFERROR(__xludf.DUMMYFUNCTION("""COMPUTED_VALUE"""),"40 pt")</f>
        <v>40 pt</v>
      </c>
      <c r="R66" s="59">
        <f>IFERROR(__xludf.DUMMYFUNCTION("""COMPUTED_VALUE"""),7500.0)</f>
        <v>7500</v>
      </c>
    </row>
    <row r="67">
      <c r="A67" s="62"/>
      <c r="B67" s="142"/>
      <c r="C67" s="108" t="str">
        <f>IFERROR(__xludf.DUMMYFUNCTION("""COMPUTED_VALUE"""),"65-69 pts")</f>
        <v>65-69 pts</v>
      </c>
      <c r="D67" s="108" t="str">
        <f>IFERROR(__xludf.DUMMYFUNCTION("""COMPUTED_VALUE"""),"5.50-5.70mm")</f>
        <v>5.50-5.70mm</v>
      </c>
      <c r="E67" s="91">
        <f>IFERROR(__xludf.DUMMYFUNCTION("""COMPUTED_VALUE"""),5652.173913043478)</f>
        <v>5652.173913</v>
      </c>
      <c r="F67" s="143">
        <f>IFERROR(__xludf.DUMMYFUNCTION("""COMPUTED_VALUE"""),7065.217391304347)</f>
        <v>7065.217391</v>
      </c>
      <c r="G67" s="7"/>
      <c r="H67" s="58" t="str">
        <f>IFERROR(__xludf.DUMMYFUNCTION("""COMPUTED_VALUE"""),"3.50*5.00")</f>
        <v>3.50*5.00</v>
      </c>
      <c r="I67" s="46" t="str">
        <f>IFERROR(__xludf.DUMMYFUNCTION("""COMPUTED_VALUE"""),"25 pt")</f>
        <v>25 pt</v>
      </c>
      <c r="J67" s="59">
        <f>IFERROR(__xludf.DUMMYFUNCTION("""COMPUTED_VALUE"""),6304.347826086956)</f>
        <v>6304.347826</v>
      </c>
      <c r="K67" s="7"/>
      <c r="L67" s="60" t="str">
        <f>IFERROR(__xludf.DUMMYFUNCTION("""COMPUTED_VALUE"""),"5.00*5.00")</f>
        <v>5.00*5.00</v>
      </c>
      <c r="M67" s="61" t="str">
        <f>IFERROR(__xludf.DUMMYFUNCTION("""COMPUTED_VALUE"""),"75 pt")</f>
        <v>75 pt</v>
      </c>
      <c r="N67" s="59">
        <f>IFERROR(__xludf.DUMMYFUNCTION("""COMPUTED_VALUE"""),6630.434782608695)</f>
        <v>6630.434783</v>
      </c>
      <c r="O67" s="7"/>
      <c r="P67" s="58" t="str">
        <f>IFERROR(__xludf.DUMMYFUNCTION("""COMPUTED_VALUE"""),"3.80*5.40")</f>
        <v>3.80*5.40</v>
      </c>
      <c r="Q67" s="46" t="str">
        <f>IFERROR(__xludf.DUMMYFUNCTION("""COMPUTED_VALUE"""),"45 pt")</f>
        <v>45 pt</v>
      </c>
      <c r="R67" s="59">
        <f>IFERROR(__xludf.DUMMYFUNCTION("""COMPUTED_VALUE"""),7173.913043478261)</f>
        <v>7173.913043</v>
      </c>
    </row>
    <row r="68">
      <c r="A68" s="36" t="str">
        <f>IFERROR(__xludf.DUMMYFUNCTION("""COMPUTED_VALUE"""),"70'S")</f>
        <v>70'S</v>
      </c>
      <c r="B68" s="140"/>
      <c r="C68" s="93" t="str">
        <f>IFERROR(__xludf.DUMMYFUNCTION("""COMPUTED_VALUE"""),"70-73 pts")</f>
        <v>70-73 pts</v>
      </c>
      <c r="D68" s="93" t="str">
        <f>IFERROR(__xludf.DUMMYFUNCTION("""COMPUTED_VALUE"""),"5.70-6.10mm")</f>
        <v>5.70-6.10mm</v>
      </c>
      <c r="E68" s="94">
        <f>IFERROR(__xludf.DUMMYFUNCTION("""COMPUTED_VALUE"""),5217.391304347826)</f>
        <v>5217.391304</v>
      </c>
      <c r="F68" s="141">
        <f>IFERROR(__xludf.DUMMYFUNCTION("""COMPUTED_VALUE"""),8152.173913043478)</f>
        <v>8152.173913</v>
      </c>
      <c r="G68" s="7"/>
      <c r="H68" s="102" t="str">
        <f>IFERROR(__xludf.DUMMYFUNCTION("""COMPUTED_VALUE"""),"3.80*5.30")</f>
        <v>3.80*5.30</v>
      </c>
      <c r="I68" s="63" t="str">
        <f>IFERROR(__xludf.DUMMYFUNCTION("""COMPUTED_VALUE"""),"30 pt")</f>
        <v>30 pt</v>
      </c>
      <c r="J68" s="101">
        <f>IFERROR(__xludf.DUMMYFUNCTION("""COMPUTED_VALUE"""),6630.434782608695)</f>
        <v>6630.434783</v>
      </c>
      <c r="K68" s="7"/>
      <c r="L68" s="96" t="str">
        <f>IFERROR(__xludf.DUMMYFUNCTION("""COMPUTED_VALUE"""),"5.45*5.45")</f>
        <v>5.45*5.45</v>
      </c>
      <c r="M68" s="99" t="str">
        <f>IFERROR(__xludf.DUMMYFUNCTION("""COMPUTED_VALUE"""),"1.00 ct")</f>
        <v>1.00 ct</v>
      </c>
      <c r="N68" s="101">
        <f>IFERROR(__xludf.DUMMYFUNCTION("""COMPUTED_VALUE"""),7500.0)</f>
        <v>7500</v>
      </c>
      <c r="O68" s="7"/>
      <c r="P68" s="58" t="str">
        <f>IFERROR(__xludf.DUMMYFUNCTION("""COMPUTED_VALUE"""),"4.00*5.50")</f>
        <v>4.00*5.50</v>
      </c>
      <c r="Q68" s="46" t="str">
        <f>IFERROR(__xludf.DUMMYFUNCTION("""COMPUTED_VALUE"""),"50 pt")</f>
        <v>50 pt</v>
      </c>
      <c r="R68" s="59">
        <f>IFERROR(__xludf.DUMMYFUNCTION("""COMPUTED_VALUE"""),7500.0)</f>
        <v>7500</v>
      </c>
    </row>
    <row r="69">
      <c r="A69" s="62"/>
      <c r="B69" s="142"/>
      <c r="C69" s="109" t="str">
        <f>IFERROR(__xludf.DUMMYFUNCTION("""COMPUTED_VALUE"""),"73-79 pts")</f>
        <v>73-79 pts</v>
      </c>
      <c r="D69" s="109" t="str">
        <f>IFERROR(__xludf.DUMMYFUNCTION("""COMPUTED_VALUE"""),"5.90-6.10mm")</f>
        <v>5.90-6.10mm</v>
      </c>
      <c r="E69" s="91">
        <f>IFERROR(__xludf.DUMMYFUNCTION("""COMPUTED_VALUE"""),5543.478260869565)</f>
        <v>5543.478261</v>
      </c>
      <c r="F69" s="143">
        <f>IFERROR(__xludf.DUMMYFUNCTION("""COMPUTED_VALUE"""),8152.173913043478)</f>
        <v>8152.173913</v>
      </c>
      <c r="G69" s="7"/>
      <c r="H69" s="25" t="str">
        <f>IFERROR(__xludf.DUMMYFUNCTION("""COMPUTED_VALUE"""),"4.00*5.00")</f>
        <v>4.00*5.00</v>
      </c>
      <c r="K69" s="7"/>
      <c r="L69" s="25" t="str">
        <f>IFERROR(__xludf.DUMMYFUNCTION("""COMPUTED_VALUE"""),"HEART/心形")</f>
        <v>HEART/心形</v>
      </c>
      <c r="O69" s="7"/>
      <c r="P69" s="58" t="str">
        <f>IFERROR(__xludf.DUMMYFUNCTION("""COMPUTED_VALUE"""),"4.00*6.00")</f>
        <v>4.00*6.00</v>
      </c>
      <c r="Q69" s="46" t="str">
        <f>IFERROR(__xludf.DUMMYFUNCTION("""COMPUTED_VALUE"""),"57 pt")</f>
        <v>57 pt</v>
      </c>
      <c r="R69" s="59">
        <f>IFERROR(__xludf.DUMMYFUNCTION("""COMPUTED_VALUE"""),6847.826086956521)</f>
        <v>6847.826087</v>
      </c>
    </row>
    <row r="70">
      <c r="A70" s="36" t="str">
        <f>IFERROR(__xludf.DUMMYFUNCTION("""COMPUTED_VALUE"""),"80'S")</f>
        <v>80'S</v>
      </c>
      <c r="B70" s="140"/>
      <c r="C70" s="93" t="str">
        <f>IFERROR(__xludf.DUMMYFUNCTION("""COMPUTED_VALUE"""),"80-84 pts")</f>
        <v>80-84 pts</v>
      </c>
      <c r="D70" s="93" t="str">
        <f>IFERROR(__xludf.DUMMYFUNCTION("""COMPUTED_VALUE"""),"6.00-6.20mm")</f>
        <v>6.00-6.20mm</v>
      </c>
      <c r="E70" s="94">
        <f>IFERROR(__xludf.DUMMYFUNCTION("""COMPUTED_VALUE"""),5434.782608695652)</f>
        <v>5434.782609</v>
      </c>
      <c r="F70" s="141">
        <f>IFERROR(__xludf.DUMMYFUNCTION("""COMPUTED_VALUE"""),8152.173913043478)</f>
        <v>8152.173913</v>
      </c>
      <c r="G70" s="7"/>
      <c r="H70" s="51" t="str">
        <f>IFERROR(__xludf.DUMMYFUNCTION("""COMPUTED_VALUE"""),"4.00*5.60")</f>
        <v>4.00*5.60</v>
      </c>
      <c r="I70" s="53" t="str">
        <f>IFERROR(__xludf.DUMMYFUNCTION("""COMPUTED_VALUE"""),"35 pt")</f>
        <v>35 pt</v>
      </c>
      <c r="J70" s="107">
        <f>IFERROR(__xludf.DUMMYFUNCTION("""COMPUTED_VALUE"""),6521.739130434782)</f>
        <v>6521.73913</v>
      </c>
      <c r="K70" s="7"/>
      <c r="L70" s="144" t="str">
        <f>IFERROR(__xludf.DUMMYFUNCTION("""COMPUTED_VALUE"""),"MM SIZE W/L")</f>
        <v>MM SIZE W/L</v>
      </c>
      <c r="M70" s="145" t="str">
        <f>IFERROR(__xludf.DUMMYFUNCTION("""COMPUTED_VALUE"""),"PTS")</f>
        <v>PTS</v>
      </c>
      <c r="N70" s="146" t="str">
        <f>IFERROR(__xludf.DUMMYFUNCTION("""COMPUTED_VALUE"""),"INR/Ct.")</f>
        <v>INR/Ct.</v>
      </c>
      <c r="O70" s="7"/>
      <c r="P70" s="58" t="str">
        <f>IFERROR(__xludf.DUMMYFUNCTION("""COMPUTED_VALUE"""),"4.50*6.50")</f>
        <v>4.50*6.50</v>
      </c>
      <c r="Q70" s="46" t="str">
        <f>IFERROR(__xludf.DUMMYFUNCTION("""COMPUTED_VALUE"""),"75 pt")</f>
        <v>75 pt</v>
      </c>
      <c r="R70" s="59">
        <f>IFERROR(__xludf.DUMMYFUNCTION("""COMPUTED_VALUE"""),7500.0)</f>
        <v>7500</v>
      </c>
    </row>
    <row r="71">
      <c r="A71" s="62"/>
      <c r="B71" s="142"/>
      <c r="C71" s="109" t="str">
        <f>IFERROR(__xludf.DUMMYFUNCTION("""COMPUTED_VALUE"""),"85-89 pts")</f>
        <v>85-89 pts</v>
      </c>
      <c r="D71" s="109" t="str">
        <f>IFERROR(__xludf.DUMMYFUNCTION("""COMPUTED_VALUE"""),"6.10-6.20mm")</f>
        <v>6.10-6.20mm</v>
      </c>
      <c r="E71" s="91">
        <f>IFERROR(__xludf.DUMMYFUNCTION("""COMPUTED_VALUE"""),5434.782608695652)</f>
        <v>5434.782609</v>
      </c>
      <c r="F71" s="143">
        <f>IFERROR(__xludf.DUMMYFUNCTION("""COMPUTED_VALUE"""),8152.173913043478)</f>
        <v>8152.173913</v>
      </c>
      <c r="G71" s="7"/>
      <c r="H71" s="58" t="str">
        <f>IFERROR(__xludf.DUMMYFUNCTION("""COMPUTED_VALUE"""),"4.00*6.00")</f>
        <v>4.00*6.00</v>
      </c>
      <c r="I71" s="46" t="str">
        <f>IFERROR(__xludf.DUMMYFUNCTION("""COMPUTED_VALUE"""),"40 pt")</f>
        <v>40 pt</v>
      </c>
      <c r="J71" s="59">
        <f>IFERROR(__xludf.DUMMYFUNCTION("""COMPUTED_VALUE"""),6413.043478260869)</f>
        <v>6413.043478</v>
      </c>
      <c r="K71" s="7"/>
      <c r="L71" s="60" t="str">
        <f>IFERROR(__xludf.DUMMYFUNCTION("""COMPUTED_VALUE"""),"2.50*2.50")</f>
        <v>2.50*2.50</v>
      </c>
      <c r="M71" s="61" t="str">
        <f>IFERROR(__xludf.DUMMYFUNCTION("""COMPUTED_VALUE"""),"6 pt")</f>
        <v>6 pt</v>
      </c>
      <c r="N71" s="59">
        <f>IFERROR(__xludf.DUMMYFUNCTION("""COMPUTED_VALUE"""),10869.565217391304)</f>
        <v>10869.56522</v>
      </c>
      <c r="O71" s="7"/>
      <c r="P71" s="102" t="str">
        <f>IFERROR(__xludf.DUMMYFUNCTION("""COMPUTED_VALUE"""),"5.00*7.00")</f>
        <v>5.00*7.00</v>
      </c>
      <c r="Q71" s="63" t="str">
        <f>IFERROR(__xludf.DUMMYFUNCTION("""COMPUTED_VALUE"""),"1.00 ct")</f>
        <v>1.00 ct</v>
      </c>
      <c r="R71" s="101">
        <f>IFERROR(__xludf.DUMMYFUNCTION("""COMPUTED_VALUE"""),8152.173913043478)</f>
        <v>8152.173913</v>
      </c>
    </row>
    <row r="72">
      <c r="A72" s="36" t="str">
        <f>IFERROR(__xludf.DUMMYFUNCTION("""COMPUTED_VALUE"""),"90'S")</f>
        <v>90'S</v>
      </c>
      <c r="B72" s="140"/>
      <c r="C72" s="93" t="str">
        <f>IFERROR(__xludf.DUMMYFUNCTION("""COMPUTED_VALUE"""),"90-94 pts")</f>
        <v>90-94 pts</v>
      </c>
      <c r="D72" s="93" t="str">
        <f>IFERROR(__xludf.DUMMYFUNCTION("""COMPUTED_VALUE"""),"6.20-6.30mm")</f>
        <v>6.20-6.30mm</v>
      </c>
      <c r="E72" s="94">
        <f>IFERROR(__xludf.DUMMYFUNCTION("""COMPUTED_VALUE"""),5434.782608695652)</f>
        <v>5434.782609</v>
      </c>
      <c r="F72" s="141">
        <f>IFERROR(__xludf.DUMMYFUNCTION("""COMPUTED_VALUE"""),8152.173913043478)</f>
        <v>8152.173913</v>
      </c>
      <c r="G72" s="7"/>
      <c r="H72" s="58" t="str">
        <f>IFERROR(__xludf.DUMMYFUNCTION("""COMPUTED_VALUE"""),"4.50*6.30")</f>
        <v>4.50*6.30</v>
      </c>
      <c r="I72" s="46" t="str">
        <f>IFERROR(__xludf.DUMMYFUNCTION("""COMPUTED_VALUE"""),"50 pt")</f>
        <v>50 pt</v>
      </c>
      <c r="J72" s="59">
        <f>IFERROR(__xludf.DUMMYFUNCTION("""COMPUTED_VALUE"""),6521.739130434782)</f>
        <v>6521.73913</v>
      </c>
      <c r="K72" s="7"/>
      <c r="L72" s="60" t="str">
        <f>IFERROR(__xludf.DUMMYFUNCTION("""COMPUTED_VALUE"""),"3.00*3.00")</f>
        <v>3.00*3.00</v>
      </c>
      <c r="M72" s="61" t="str">
        <f>IFERROR(__xludf.DUMMYFUNCTION("""COMPUTED_VALUE"""),"8 pt")</f>
        <v>8 pt</v>
      </c>
      <c r="N72" s="59">
        <f>IFERROR(__xludf.DUMMYFUNCTION("""COMPUTED_VALUE"""),10326.086956521738)</f>
        <v>10326.08696</v>
      </c>
      <c r="O72" s="7"/>
      <c r="P72" s="25" t="str">
        <f>IFERROR(__xludf.DUMMYFUNCTION("""COMPUTED_VALUE"""),"TRILLIAN")</f>
        <v>TRILLIAN</v>
      </c>
    </row>
    <row r="73">
      <c r="A73" s="62"/>
      <c r="B73" s="142"/>
      <c r="C73" s="109" t="str">
        <f>IFERROR(__xludf.DUMMYFUNCTION("""COMPUTED_VALUE"""),"95-99 pts")</f>
        <v>95-99 pts</v>
      </c>
      <c r="D73" s="109" t="str">
        <f>IFERROR(__xludf.DUMMYFUNCTION("""COMPUTED_VALUE"""),"6.25-6.35mm")</f>
        <v>6.25-6.35mm</v>
      </c>
      <c r="E73" s="91">
        <f>IFERROR(__xludf.DUMMYFUNCTION("""COMPUTED_VALUE"""),5978.260869565217)</f>
        <v>5978.26087</v>
      </c>
      <c r="F73" s="143">
        <f>IFERROR(__xludf.DUMMYFUNCTION("""COMPUTED_VALUE"""),9239.130434782608)</f>
        <v>9239.130435</v>
      </c>
      <c r="G73" s="7"/>
      <c r="H73" s="58" t="str">
        <f>IFERROR(__xludf.DUMMYFUNCTION("""COMPUTED_VALUE"""),"5.05*7.05")</f>
        <v>5.05*7.05</v>
      </c>
      <c r="I73" s="46" t="str">
        <f>IFERROR(__xludf.DUMMYFUNCTION("""COMPUTED_VALUE"""),"70 pt")</f>
        <v>70 pt</v>
      </c>
      <c r="J73" s="59">
        <f>IFERROR(__xludf.DUMMYFUNCTION("""COMPUTED_VALUE"""),7173.913043478261)</f>
        <v>7173.913043</v>
      </c>
      <c r="K73" s="7"/>
      <c r="L73" s="60" t="str">
        <f>IFERROR(__xludf.DUMMYFUNCTION("""COMPUTED_VALUE"""),"3.20*2.90")</f>
        <v>3.20*2.90</v>
      </c>
      <c r="M73" s="61" t="str">
        <f>IFERROR(__xludf.DUMMYFUNCTION("""COMPUTED_VALUE"""),"10 pt")</f>
        <v>10 pt</v>
      </c>
      <c r="N73" s="59">
        <f>IFERROR(__xludf.DUMMYFUNCTION("""COMPUTED_VALUE"""),10326.086956521738)</f>
        <v>10326.08696</v>
      </c>
      <c r="O73" s="7"/>
      <c r="P73" s="144" t="str">
        <f>IFERROR(__xludf.DUMMYFUNCTION("""COMPUTED_VALUE"""),"MM SIZE W/L")</f>
        <v>MM SIZE W/L</v>
      </c>
      <c r="Q73" s="145" t="str">
        <f>IFERROR(__xludf.DUMMYFUNCTION("""COMPUTED_VALUE"""),"PTS")</f>
        <v>PTS</v>
      </c>
      <c r="R73" s="54" t="str">
        <f>IFERROR(__xludf.DUMMYFUNCTION("""COMPUTED_VALUE"""),"INR/Ct.")</f>
        <v>INR/Ct.</v>
      </c>
    </row>
    <row r="74">
      <c r="A74" s="36" t="str">
        <f>IFERROR(__xludf.DUMMYFUNCTION("""COMPUTED_VALUE"""),"1 CT UP")</f>
        <v>1 CT UP</v>
      </c>
      <c r="B74" s="140"/>
      <c r="C74" s="93" t="str">
        <f>IFERROR(__xludf.DUMMYFUNCTION("""COMPUTED_VALUE"""),"1.00-1.10 ct")</f>
        <v>1.00-1.10 ct</v>
      </c>
      <c r="D74" s="93" t="str">
        <f>IFERROR(__xludf.DUMMYFUNCTION("""COMPUTED_VALUE"""),"6.40-6.55mm")</f>
        <v>6.40-6.55mm</v>
      </c>
      <c r="E74" s="94">
        <f>IFERROR(__xludf.DUMMYFUNCTION("""COMPUTED_VALUE"""),7391.304347826087)</f>
        <v>7391.304348</v>
      </c>
      <c r="F74" s="141">
        <f>IFERROR(__xludf.DUMMYFUNCTION("""COMPUTED_VALUE"""),10326.086956521738)</f>
        <v>10326.08696</v>
      </c>
      <c r="G74" s="7"/>
      <c r="H74" s="58" t="str">
        <f>IFERROR(__xludf.DUMMYFUNCTION("""COMPUTED_VALUE"""),"5.70*8.00")</f>
        <v>5.70*8.00</v>
      </c>
      <c r="I74" s="46" t="str">
        <f>IFERROR(__xludf.DUMMYFUNCTION("""COMPUTED_VALUE"""),"1.00 ct")</f>
        <v>1.00 ct</v>
      </c>
      <c r="J74" s="59">
        <f>IFERROR(__xludf.DUMMYFUNCTION("""COMPUTED_VALUE"""),7391.304347826087)</f>
        <v>7391.304348</v>
      </c>
      <c r="K74" s="7"/>
      <c r="L74" s="60" t="str">
        <f>IFERROR(__xludf.DUMMYFUNCTION("""COMPUTED_VALUE"""),"3.60*3.20")</f>
        <v>3.60*3.20</v>
      </c>
      <c r="M74" s="61" t="str">
        <f>IFERROR(__xludf.DUMMYFUNCTION("""COMPUTED_VALUE"""),"15 pt")</f>
        <v>15 pt</v>
      </c>
      <c r="N74" s="59">
        <f>IFERROR(__xludf.DUMMYFUNCTION("""COMPUTED_VALUE"""),10326.086956521738)</f>
        <v>10326.08696</v>
      </c>
      <c r="O74" s="7"/>
      <c r="P74" s="58" t="str">
        <f>IFERROR(__xludf.DUMMYFUNCTION("""COMPUTED_VALUE"""),"2.50*2.50")</f>
        <v>2.50*2.50</v>
      </c>
      <c r="Q74" s="46" t="str">
        <f>IFERROR(__xludf.DUMMYFUNCTION("""COMPUTED_VALUE"""),"7 pt")</f>
        <v>7 pt</v>
      </c>
      <c r="R74" s="147">
        <f>IFERROR(__xludf.DUMMYFUNCTION("""COMPUTED_VALUE"""),11956.521739130434)</f>
        <v>11956.52174</v>
      </c>
    </row>
    <row r="75">
      <c r="A75" s="45"/>
      <c r="B75" s="148"/>
      <c r="C75" s="87" t="str">
        <f>IFERROR(__xludf.DUMMYFUNCTION("""COMPUTED_VALUE"""),"1.11-1.21 ct")</f>
        <v>1.11-1.21 ct</v>
      </c>
      <c r="D75" s="87" t="str">
        <f>IFERROR(__xludf.DUMMYFUNCTION("""COMPUTED_VALUE"""),"6.55-6.75mm")</f>
        <v>6.55-6.75mm</v>
      </c>
      <c r="E75" s="88">
        <f>IFERROR(__xludf.DUMMYFUNCTION("""COMPUTED_VALUE"""),7065.217391304347)</f>
        <v>7065.217391</v>
      </c>
      <c r="F75" s="149">
        <f>IFERROR(__xludf.DUMMYFUNCTION("""COMPUTED_VALUE"""),10326.086956521738)</f>
        <v>10326.08696</v>
      </c>
      <c r="G75" s="7"/>
      <c r="H75" s="58" t="str">
        <f>IFERROR(__xludf.DUMMYFUNCTION("""COMPUTED_VALUE"""),"LV ")</f>
        <v>LV </v>
      </c>
      <c r="I75" s="46"/>
      <c r="J75" s="59"/>
      <c r="K75" s="7"/>
      <c r="L75" s="60" t="str">
        <f>IFERROR(__xludf.DUMMYFUNCTION("""COMPUTED_VALUE"""),"4.10*3.70")</f>
        <v>4.10*3.70</v>
      </c>
      <c r="M75" s="61" t="str">
        <f>IFERROR(__xludf.DUMMYFUNCTION("""COMPUTED_VALUE"""),"20 pt")</f>
        <v>20 pt</v>
      </c>
      <c r="N75" s="59">
        <f>IFERROR(__xludf.DUMMYFUNCTION("""COMPUTED_VALUE"""),9130.434782608696)</f>
        <v>9130.434783</v>
      </c>
      <c r="O75" s="7"/>
      <c r="P75" s="58" t="str">
        <f>IFERROR(__xludf.DUMMYFUNCTION("""COMPUTED_VALUE"""),"3.00*3.00")</f>
        <v>3.00*3.00</v>
      </c>
      <c r="Q75" s="46" t="str">
        <f>IFERROR(__xludf.DUMMYFUNCTION("""COMPUTED_VALUE"""),"10 pt")</f>
        <v>10 pt</v>
      </c>
      <c r="R75" s="147">
        <f>IFERROR(__xludf.DUMMYFUNCTION("""COMPUTED_VALUE"""),10869.565217391304)</f>
        <v>10869.56522</v>
      </c>
    </row>
    <row r="76">
      <c r="A76" s="45"/>
      <c r="B76" s="148"/>
      <c r="C76" s="87" t="str">
        <f>IFERROR(__xludf.DUMMYFUNCTION("""COMPUTED_VALUE"""),"1.22-1.28 ct")</f>
        <v>1.22-1.28 ct</v>
      </c>
      <c r="D76" s="87" t="str">
        <f>IFERROR(__xludf.DUMMYFUNCTION("""COMPUTED_VALUE"""),"6.75-7.00mm")</f>
        <v>6.75-7.00mm</v>
      </c>
      <c r="E76" s="88">
        <f>IFERROR(__xludf.DUMMYFUNCTION("""COMPUTED_VALUE"""),7173.913043478261)</f>
        <v>7173.913043</v>
      </c>
      <c r="F76" s="149">
        <f>IFERROR(__xludf.DUMMYFUNCTION("""COMPUTED_VALUE"""),10326.086956521738)</f>
        <v>10326.08696</v>
      </c>
      <c r="G76" s="7"/>
      <c r="H76" s="58" t="str">
        <f>IFERROR(__xludf.DUMMYFUNCTION("""COMPUTED_VALUE"""),"MM SIZE W/L")</f>
        <v>MM SIZE W/L</v>
      </c>
      <c r="I76" s="46" t="str">
        <f>IFERROR(__xludf.DUMMYFUNCTION("""COMPUTED_VALUE"""),"PTS")</f>
        <v>PTS</v>
      </c>
      <c r="J76" s="59" t="str">
        <f>IFERROR(__xludf.DUMMYFUNCTION("""COMPUTED_VALUE"""),"INR/Ct.")</f>
        <v>INR/Ct.</v>
      </c>
      <c r="K76" s="7"/>
      <c r="L76" s="60" t="str">
        <f>IFERROR(__xludf.DUMMYFUNCTION("""COMPUTED_VALUE"""),"4.00*4.00")</f>
        <v>4.00*4.00</v>
      </c>
      <c r="M76" s="61" t="str">
        <f>IFERROR(__xludf.DUMMYFUNCTION("""COMPUTED_VALUE"""),"20 pt")</f>
        <v>20 pt</v>
      </c>
      <c r="N76" s="59">
        <f>IFERROR(__xludf.DUMMYFUNCTION("""COMPUTED_VALUE"""),9130.434782608696)</f>
        <v>9130.434783</v>
      </c>
      <c r="O76" s="7"/>
      <c r="P76" s="60" t="str">
        <f>IFERROR(__xludf.DUMMYFUNCTION("""COMPUTED_VALUE"""),"3.50*3.50")</f>
        <v>3.50*3.50</v>
      </c>
      <c r="Q76" s="46" t="str">
        <f>IFERROR(__xludf.DUMMYFUNCTION("""COMPUTED_VALUE"""),"15 pt")</f>
        <v>15 pt</v>
      </c>
      <c r="R76" s="147">
        <f>IFERROR(__xludf.DUMMYFUNCTION("""COMPUTED_VALUE"""),10543.478260869564)</f>
        <v>10543.47826</v>
      </c>
    </row>
    <row r="77">
      <c r="A77" s="45"/>
      <c r="B77" s="148"/>
      <c r="C77" s="87" t="str">
        <f>IFERROR(__xludf.DUMMYFUNCTION("""COMPUTED_VALUE"""),"1.29-1.39 ct")</f>
        <v>1.29-1.39 ct</v>
      </c>
      <c r="D77" s="87" t="str">
        <f>IFERROR(__xludf.DUMMYFUNCTION("""COMPUTED_VALUE"""),"7.00-7.20mm")</f>
        <v>7.00-7.20mm</v>
      </c>
      <c r="E77" s="88">
        <f>IFERROR(__xludf.DUMMYFUNCTION("""COMPUTED_VALUE"""),6304.347826086956)</f>
        <v>6304.347826</v>
      </c>
      <c r="F77" s="149">
        <f>IFERROR(__xludf.DUMMYFUNCTION("""COMPUTED_VALUE"""),10326.086956521738)</f>
        <v>10326.08696</v>
      </c>
      <c r="G77" s="7"/>
      <c r="H77" s="58" t="str">
        <f>IFERROR(__xludf.DUMMYFUNCTION("""COMPUTED_VALUE"""),"4.50*.450")</f>
        <v>4.50*.450</v>
      </c>
      <c r="I77" s="46" t="str">
        <f>IFERROR(__xludf.DUMMYFUNCTION("""COMPUTED_VALUE"""),"20 PT")</f>
        <v>20 PT</v>
      </c>
      <c r="J77" s="59">
        <f>IFERROR(__xludf.DUMMYFUNCTION("""COMPUTED_VALUE"""),12500.0)</f>
        <v>12500</v>
      </c>
      <c r="K77" s="7"/>
      <c r="L77" s="60" t="str">
        <f>IFERROR(__xludf.DUMMYFUNCTION("""COMPUTED_VALUE"""),"4.00*4.40")</f>
        <v>4.00*4.40</v>
      </c>
      <c r="M77" s="61" t="str">
        <f>IFERROR(__xludf.DUMMYFUNCTION("""COMPUTED_VALUE"""),"25 pt")</f>
        <v>25 pt</v>
      </c>
      <c r="N77" s="59">
        <f>IFERROR(__xludf.DUMMYFUNCTION("""COMPUTED_VALUE"""),9130.434782608696)</f>
        <v>9130.434783</v>
      </c>
      <c r="O77" s="7"/>
      <c r="P77" s="60" t="str">
        <f>IFERROR(__xludf.DUMMYFUNCTION("""COMPUTED_VALUE"""),"4.00*4.00")</f>
        <v>4.00*4.00</v>
      </c>
      <c r="Q77" s="46" t="str">
        <f>IFERROR(__xludf.DUMMYFUNCTION("""COMPUTED_VALUE"""),"20 pt")</f>
        <v>20 pt</v>
      </c>
      <c r="R77" s="147">
        <f>IFERROR(__xludf.DUMMYFUNCTION("""COMPUTED_VALUE"""),9130.434782608696)</f>
        <v>9130.434783</v>
      </c>
    </row>
    <row r="78">
      <c r="A78" s="62"/>
      <c r="B78" s="142"/>
      <c r="C78" s="109" t="str">
        <f>IFERROR(__xludf.DUMMYFUNCTION("""COMPUTED_VALUE"""),"1.40-1.49 ct")</f>
        <v>1.40-1.49 ct</v>
      </c>
      <c r="D78" s="109" t="str">
        <f>IFERROR(__xludf.DUMMYFUNCTION("""COMPUTED_VALUE"""),"7.20-7.40mm")</f>
        <v>7.20-7.40mm</v>
      </c>
      <c r="E78" s="91">
        <f>IFERROR(__xludf.DUMMYFUNCTION("""COMPUTED_VALUE"""),6304.347826086956)</f>
        <v>6304.347826</v>
      </c>
      <c r="F78" s="143">
        <f>IFERROR(__xludf.DUMMYFUNCTION("""COMPUTED_VALUE"""),10326.086956521738)</f>
        <v>10326.08696</v>
      </c>
      <c r="G78" s="7"/>
      <c r="H78" s="58" t="str">
        <f>IFERROR(__xludf.DUMMYFUNCTION("""COMPUTED_VALUE"""),"5.50*5.50")</f>
        <v>5.50*5.50</v>
      </c>
      <c r="I78" s="46" t="str">
        <f>IFERROR(__xludf.DUMMYFUNCTION("""COMPUTED_VALUE"""),"30 PT")</f>
        <v>30 PT</v>
      </c>
      <c r="J78" s="59">
        <f>IFERROR(__xludf.DUMMYFUNCTION("""COMPUTED_VALUE"""),12500.0)</f>
        <v>12500</v>
      </c>
      <c r="K78" s="7"/>
      <c r="L78" s="60" t="str">
        <f>IFERROR(__xludf.DUMMYFUNCTION("""COMPUTED_VALUE"""),"4.60*4.20")</f>
        <v>4.60*4.20</v>
      </c>
      <c r="M78" s="61" t="str">
        <f>IFERROR(__xludf.DUMMYFUNCTION("""COMPUTED_VALUE"""),"30 pt")</f>
        <v>30 pt</v>
      </c>
      <c r="N78" s="59">
        <f>IFERROR(__xludf.DUMMYFUNCTION("""COMPUTED_VALUE"""),9130.434782608696)</f>
        <v>9130.434783</v>
      </c>
      <c r="O78" s="7"/>
      <c r="P78" s="58" t="str">
        <f>IFERROR(__xludf.DUMMYFUNCTION("""COMPUTED_VALUE"""),"4.50*4.50")</f>
        <v>4.50*4.50</v>
      </c>
      <c r="Q78" s="46" t="str">
        <f>IFERROR(__xludf.DUMMYFUNCTION("""COMPUTED_VALUE"""),"25 pt")</f>
        <v>25 pt</v>
      </c>
      <c r="R78" s="147">
        <f>IFERROR(__xludf.DUMMYFUNCTION("""COMPUTED_VALUE"""),9130.434782608696)</f>
        <v>9130.434783</v>
      </c>
    </row>
    <row r="79">
      <c r="A79" s="151" t="str">
        <f>IFERROR(__xludf.DUMMYFUNCTION("""COMPUTED_VALUE"""),"1.50 CTUP")</f>
        <v>1.50 CTUP</v>
      </c>
      <c r="B79" s="140"/>
      <c r="C79" s="93" t="str">
        <f>IFERROR(__xludf.DUMMYFUNCTION("""COMPUTED_VALUE"""),"1.50-1.60 ct")</f>
        <v>1.50-1.60 ct</v>
      </c>
      <c r="D79" s="93" t="str">
        <f>IFERROR(__xludf.DUMMYFUNCTION("""COMPUTED_VALUE"""),"7.40-7.50mm")</f>
        <v>7.40-7.50mm</v>
      </c>
      <c r="E79" s="94">
        <f>IFERROR(__xludf.DUMMYFUNCTION("""COMPUTED_VALUE"""),8152.173913043478)</f>
        <v>8152.173913</v>
      </c>
      <c r="F79" s="141">
        <f>IFERROR(__xludf.DUMMYFUNCTION("""COMPUTED_VALUE"""),10326.086956521738)</f>
        <v>10326.08696</v>
      </c>
      <c r="G79" s="7"/>
      <c r="H79" s="58" t="str">
        <f>IFERROR(__xludf.DUMMYFUNCTION("""COMPUTED_VALUE"""),"6.00*6.00")</f>
        <v>6.00*6.00</v>
      </c>
      <c r="I79" s="46" t="str">
        <f>IFERROR(__xludf.DUMMYFUNCTION("""COMPUTED_VALUE"""),"40 PT")</f>
        <v>40 PT</v>
      </c>
      <c r="J79" s="59">
        <f>IFERROR(__xludf.DUMMYFUNCTION("""COMPUTED_VALUE"""),12500.0)</f>
        <v>12500</v>
      </c>
      <c r="K79" s="7"/>
      <c r="L79" s="60" t="str">
        <f>IFERROR(__xludf.DUMMYFUNCTION("""COMPUTED_VALUE"""),"5.00*5.00")</f>
        <v>5.00*5.00</v>
      </c>
      <c r="M79" s="61" t="str">
        <f>IFERROR(__xludf.DUMMYFUNCTION("""COMPUTED_VALUE"""),"40 pt")</f>
        <v>40 pt</v>
      </c>
      <c r="N79" s="59">
        <f>IFERROR(__xludf.DUMMYFUNCTION("""COMPUTED_VALUE"""),8478.260869565216)</f>
        <v>8478.26087</v>
      </c>
      <c r="O79" s="7"/>
      <c r="P79" s="58" t="str">
        <f>IFERROR(__xludf.DUMMYFUNCTION("""COMPUTED_VALUE"""),"5.00*5.00")</f>
        <v>5.00*5.00</v>
      </c>
      <c r="Q79" s="46" t="str">
        <f>IFERROR(__xludf.DUMMYFUNCTION("""COMPUTED_VALUE"""),"35 pt")</f>
        <v>35 pt</v>
      </c>
      <c r="R79" s="147">
        <f>IFERROR(__xludf.DUMMYFUNCTION("""COMPUTED_VALUE"""),9130.434782608696)</f>
        <v>9130.434783</v>
      </c>
    </row>
    <row r="80">
      <c r="A80" s="45"/>
      <c r="B80" s="148"/>
      <c r="C80" s="87" t="str">
        <f>IFERROR(__xludf.DUMMYFUNCTION("""COMPUTED_VALUE"""),"1.61-1.99 ct")</f>
        <v>1.61-1.99 ct</v>
      </c>
      <c r="D80" s="87" t="str">
        <f>IFERROR(__xludf.DUMMYFUNCTION("""COMPUTED_VALUE"""),"7.50-8.00mm")</f>
        <v>7.50-8.00mm</v>
      </c>
      <c r="E80" s="88">
        <f>IFERROR(__xludf.DUMMYFUNCTION("""COMPUTED_VALUE"""),8043.478260869565)</f>
        <v>8043.478261</v>
      </c>
      <c r="F80" s="149">
        <f>IFERROR(__xludf.DUMMYFUNCTION("""COMPUTED_VALUE"""),10326.086956521738)</f>
        <v>10326.08696</v>
      </c>
      <c r="G80" s="7"/>
      <c r="H80" s="58" t="str">
        <f>IFERROR(__xludf.DUMMYFUNCTION("""COMPUTED_VALUE"""),"6.30*6.30")</f>
        <v>6.30*6.30</v>
      </c>
      <c r="I80" s="46" t="str">
        <f>IFERROR(__xludf.DUMMYFUNCTION("""COMPUTED_VALUE"""),"50 PT")</f>
        <v>50 PT</v>
      </c>
      <c r="J80" s="59">
        <f>IFERROR(__xludf.DUMMYFUNCTION("""COMPUTED_VALUE"""),12500.0)</f>
        <v>12500</v>
      </c>
      <c r="K80" s="7"/>
      <c r="L80" s="60" t="str">
        <f>IFERROR(__xludf.DUMMYFUNCTION("""COMPUTED_VALUE"""),"5.55*5.00")</f>
        <v>5.55*5.00</v>
      </c>
      <c r="M80" s="61" t="str">
        <f>IFERROR(__xludf.DUMMYFUNCTION("""COMPUTED_VALUE"""),"50 pt")</f>
        <v>50 pt</v>
      </c>
      <c r="N80" s="59">
        <f>IFERROR(__xludf.DUMMYFUNCTION("""COMPUTED_VALUE"""),8695.652173913044)</f>
        <v>8695.652174</v>
      </c>
      <c r="O80" s="7"/>
      <c r="P80" s="58" t="str">
        <f>IFERROR(__xludf.DUMMYFUNCTION("""COMPUTED_VALUE"""),"5.50*5.50")</f>
        <v>5.50*5.50</v>
      </c>
      <c r="Q80" s="46" t="str">
        <f>IFERROR(__xludf.DUMMYFUNCTION("""COMPUTED_VALUE"""),"50 pt")</f>
        <v>50 pt</v>
      </c>
      <c r="R80" s="147">
        <f>IFERROR(__xludf.DUMMYFUNCTION("""COMPUTED_VALUE"""),9130.434782608696)</f>
        <v>9130.434783</v>
      </c>
    </row>
    <row r="81">
      <c r="A81" s="62"/>
      <c r="B81" s="142"/>
      <c r="C81" s="109" t="str">
        <f>IFERROR(__xludf.DUMMYFUNCTION("""COMPUTED_VALUE"""),"1.50-1.60 ct")</f>
        <v>1.50-1.60 ct</v>
      </c>
      <c r="D81" s="109" t="str">
        <f>IFERROR(__xludf.DUMMYFUNCTION("""COMPUTED_VALUE"""),"7.40-7.50mm")</f>
        <v>7.40-7.50mm</v>
      </c>
      <c r="E81" s="91">
        <f>IFERROR(__xludf.DUMMYFUNCTION("""COMPUTED_VALUE"""),8695.652173913044)</f>
        <v>8695.652174</v>
      </c>
      <c r="F81" s="143">
        <f>IFERROR(__xludf.DUMMYFUNCTION("""COMPUTED_VALUE"""),10869.565217391304)</f>
        <v>10869.56522</v>
      </c>
      <c r="G81" s="7"/>
      <c r="H81" s="58" t="str">
        <f>IFERROR(__xludf.DUMMYFUNCTION("""COMPUTED_VALUE"""),"7.00*7.00")</f>
        <v>7.00*7.00</v>
      </c>
      <c r="I81" s="46" t="str">
        <f>IFERROR(__xludf.DUMMYFUNCTION("""COMPUTED_VALUE"""),"70 PT")</f>
        <v>70 PT</v>
      </c>
      <c r="J81" s="59">
        <f>IFERROR(__xludf.DUMMYFUNCTION("""COMPUTED_VALUE"""),12500.0)</f>
        <v>12500</v>
      </c>
      <c r="K81" s="7"/>
      <c r="L81" s="60" t="str">
        <f>IFERROR(__xludf.DUMMYFUNCTION("""COMPUTED_VALUE"""),"6.10*5.60")</f>
        <v>6.10*5.60</v>
      </c>
      <c r="M81" s="61" t="str">
        <f>IFERROR(__xludf.DUMMYFUNCTION("""COMPUTED_VALUE"""),"70 pt")</f>
        <v>70 pt</v>
      </c>
      <c r="N81" s="59">
        <f>IFERROR(__xludf.DUMMYFUNCTION("""COMPUTED_VALUE"""),8478.260869565216)</f>
        <v>8478.26087</v>
      </c>
      <c r="O81" s="7"/>
      <c r="P81" s="58" t="str">
        <f>IFERROR(__xludf.DUMMYFUNCTION("""COMPUTED_VALUE"""),"6.00*6.00")</f>
        <v>6.00*6.00</v>
      </c>
      <c r="Q81" s="46" t="str">
        <f>IFERROR(__xludf.DUMMYFUNCTION("""COMPUTED_VALUE"""),"70 pt")</f>
        <v>70 pt</v>
      </c>
      <c r="R81" s="147">
        <f>IFERROR(__xludf.DUMMYFUNCTION("""COMPUTED_VALUE"""),9673.91304347826)</f>
        <v>9673.913043</v>
      </c>
    </row>
    <row r="82">
      <c r="A82" s="151" t="str">
        <f>IFERROR(__xludf.DUMMYFUNCTION("""COMPUTED_VALUE"""),"2.00 CT UP")</f>
        <v>2.00 CT UP</v>
      </c>
      <c r="B82" s="140"/>
      <c r="C82" s="152" t="str">
        <f>IFERROR(__xludf.DUMMYFUNCTION("""COMPUTED_VALUE"""),"2.00-2.49 ct")</f>
        <v>2.00-2.49 ct</v>
      </c>
      <c r="D82" s="93" t="str">
        <f>IFERROR(__xludf.DUMMYFUNCTION("""COMPUTED_VALUE"""),"8.00-8.70mm")</f>
        <v>8.00-8.70mm</v>
      </c>
      <c r="E82" s="94">
        <f>IFERROR(__xludf.DUMMYFUNCTION("""COMPUTED_VALUE"""),10000.0)</f>
        <v>10000</v>
      </c>
      <c r="F82" s="141">
        <f>IFERROR(__xludf.DUMMYFUNCTION("""COMPUTED_VALUE"""),10869.565217391304)</f>
        <v>10869.56522</v>
      </c>
      <c r="G82" s="7"/>
      <c r="H82" s="58" t="str">
        <f>IFERROR(__xludf.DUMMYFUNCTION("""COMPUTED_VALUE"""),"7.25*7.25")</f>
        <v>7.25*7.25</v>
      </c>
      <c r="I82" s="46" t="str">
        <f>IFERROR(__xludf.DUMMYFUNCTION("""COMPUTED_VALUE"""),"80 PT")</f>
        <v>80 PT</v>
      </c>
      <c r="J82" s="59">
        <f>IFERROR(__xludf.DUMMYFUNCTION("""COMPUTED_VALUE"""),12500.0)</f>
        <v>12500</v>
      </c>
      <c r="K82" s="7"/>
      <c r="L82" s="60" t="str">
        <f>IFERROR(__xludf.DUMMYFUNCTION("""COMPUTED_VALUE"""),"6.50*6.50")</f>
        <v>6.50*6.50</v>
      </c>
      <c r="M82" s="61" t="str">
        <f>IFERROR(__xludf.DUMMYFUNCTION("""COMPUTED_VALUE"""),"90 PT")</f>
        <v>90 PT</v>
      </c>
      <c r="N82" s="59">
        <f>IFERROR(__xludf.DUMMYFUNCTION("""COMPUTED_VALUE"""),9130.434782608696)</f>
        <v>9130.434783</v>
      </c>
      <c r="O82" s="7"/>
      <c r="P82" s="58" t="str">
        <f>IFERROR(__xludf.DUMMYFUNCTION("""COMPUTED_VALUE"""),"6.50*6.50")</f>
        <v>6.50*6.50</v>
      </c>
      <c r="Q82" s="46" t="str">
        <f>IFERROR(__xludf.DUMMYFUNCTION("""COMPUTED_VALUE"""),"90 pt")</f>
        <v>90 pt</v>
      </c>
      <c r="R82" s="147">
        <f>IFERROR(__xludf.DUMMYFUNCTION("""COMPUTED_VALUE"""),9673.91304347826)</f>
        <v>9673.913043</v>
      </c>
    </row>
    <row r="83">
      <c r="A83" s="62"/>
      <c r="B83" s="142"/>
      <c r="C83" s="153" t="str">
        <f>IFERROR(__xludf.DUMMYFUNCTION("""COMPUTED_VALUE"""),"2.50-2.99 ct")</f>
        <v>2.50-2.99 ct</v>
      </c>
      <c r="D83" s="109" t="str">
        <f>IFERROR(__xludf.DUMMYFUNCTION("""COMPUTED_VALUE"""),"8.70-9.20mm")</f>
        <v>8.70-9.20mm</v>
      </c>
      <c r="E83" s="91">
        <f>IFERROR(__xludf.DUMMYFUNCTION("""COMPUTED_VALUE"""),10326.086956521738)</f>
        <v>10326.08696</v>
      </c>
      <c r="F83" s="143">
        <f>IFERROR(__xludf.DUMMYFUNCTION("""COMPUTED_VALUE"""),10869.565217391304)</f>
        <v>10869.56522</v>
      </c>
      <c r="G83" s="7"/>
      <c r="H83" s="102" t="str">
        <f>IFERROR(__xludf.DUMMYFUNCTION("""COMPUTED_VALUE"""),"8.00*8.00")</f>
        <v>8.00*8.00</v>
      </c>
      <c r="I83" s="63" t="str">
        <f>IFERROR(__xludf.DUMMYFUNCTION("""COMPUTED_VALUE"""),"1.00 CT")</f>
        <v>1.00 CT</v>
      </c>
      <c r="J83" s="101">
        <f>IFERROR(__xludf.DUMMYFUNCTION("""COMPUTED_VALUE"""),13260.86956521739)</f>
        <v>13260.86957</v>
      </c>
      <c r="K83" s="7"/>
      <c r="L83" s="96" t="str">
        <f>IFERROR(__xludf.DUMMYFUNCTION("""COMPUTED_VALUE"""),"6.90*6.40")</f>
        <v>6.90*6.40</v>
      </c>
      <c r="M83" s="99" t="str">
        <f>IFERROR(__xludf.DUMMYFUNCTION("""COMPUTED_VALUE"""),"1.00 ct")</f>
        <v>1.00 ct</v>
      </c>
      <c r="N83" s="101">
        <f>IFERROR(__xludf.DUMMYFUNCTION("""COMPUTED_VALUE"""),10326.086956521738)</f>
        <v>10326.08696</v>
      </c>
      <c r="O83" s="7"/>
      <c r="P83" s="102" t="str">
        <f>IFERROR(__xludf.DUMMYFUNCTION("""COMPUTED_VALUE"""),"7.00*7.00")</f>
        <v>7.00*7.00</v>
      </c>
      <c r="Q83" s="63" t="str">
        <f>IFERROR(__xludf.DUMMYFUNCTION("""COMPUTED_VALUE"""),"1.50 ct")</f>
        <v>1.50 ct</v>
      </c>
      <c r="R83" s="154">
        <f>IFERROR(__xludf.DUMMYFUNCTION("""COMPUTED_VALUE"""),10869.565217391304)</f>
        <v>10869.56522</v>
      </c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>
      <c r="A85" s="155" t="str">
        <f>IFERROR(__xludf.DUMMYFUNCTION("""COMPUTED_VALUE"""),"Make To Order As Per Your Size And Shapes Also Can Do With In 20 Days.")</f>
        <v>Make To Order As Per Your Size And Shapes Also Can Do With In 20 Days.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7"/>
    </row>
    <row r="86">
      <c r="A86" s="104" t="str">
        <f>IFERROR(__xludf.DUMMYFUNCTION("""COMPUTED_VALUE"""),"www.partystar.net")</f>
        <v>www.partystar.net</v>
      </c>
    </row>
    <row r="87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</row>
    <row r="88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</row>
    <row r="89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</row>
    <row r="90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</row>
    <row r="9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</row>
    <row r="92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</row>
    <row r="93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</row>
    <row r="94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</row>
    <row r="95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  <row r="96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</row>
    <row r="97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</row>
    <row r="98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</row>
    <row r="99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</row>
    <row r="100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</row>
    <row r="10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</row>
    <row r="102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</row>
    <row r="103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</row>
    <row r="104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</row>
    <row r="10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</row>
    <row r="106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</row>
    <row r="107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</row>
    <row r="108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</row>
    <row r="109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</row>
    <row r="110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</row>
    <row r="11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</row>
    <row r="112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</row>
    <row r="113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</row>
    <row r="114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</row>
    <row r="115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</row>
    <row r="116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</row>
    <row r="117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</row>
    <row r="118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</row>
    <row r="119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</row>
    <row r="120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</row>
    <row r="12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</row>
    <row r="122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</row>
    <row r="123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</row>
    <row r="124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</row>
    <row r="125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</row>
    <row r="126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</row>
    <row r="127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</row>
    <row r="128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</row>
    <row r="129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</row>
    <row r="130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</row>
    <row r="13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</row>
    <row r="132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</row>
    <row r="133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</row>
    <row r="134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</row>
    <row r="135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</row>
    <row r="136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</row>
    <row r="137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</row>
    <row r="138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</row>
    <row r="139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</row>
    <row r="140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</row>
    <row r="14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</row>
    <row r="142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</row>
    <row r="143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</row>
    <row r="144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</row>
    <row r="145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</row>
    <row r="146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</row>
    <row r="147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</row>
    <row r="148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</row>
    <row r="149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</row>
    <row r="150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</row>
    <row r="15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</row>
    <row r="152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</row>
    <row r="153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</row>
    <row r="154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</row>
    <row r="155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</row>
    <row r="156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</row>
    <row r="157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</row>
    <row r="158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</row>
    <row r="159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</row>
    <row r="160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</row>
    <row r="16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</row>
    <row r="162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</row>
    <row r="163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</row>
    <row r="164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</row>
    <row r="165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</row>
    <row r="166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</row>
    <row r="167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</row>
    <row r="168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</row>
    <row r="169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</row>
    <row r="170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</row>
    <row r="17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</row>
    <row r="172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</row>
    <row r="173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</row>
    <row r="174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</row>
    <row r="175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</row>
    <row r="176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</row>
    <row r="177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</row>
    <row r="178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</row>
    <row r="179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</row>
    <row r="180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</row>
    <row r="18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</row>
    <row r="182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</row>
    <row r="183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</row>
    <row r="184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</row>
    <row r="185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</row>
    <row r="186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</row>
    <row r="187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</row>
    <row r="188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</row>
    <row r="189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</row>
    <row r="190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</row>
    <row r="19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</row>
    <row r="192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</row>
    <row r="193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</row>
    <row r="194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</row>
    <row r="195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</row>
    <row r="196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</row>
    <row r="197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</row>
    <row r="198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</row>
    <row r="199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</row>
    <row r="200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</row>
    <row r="20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</row>
    <row r="202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</row>
    <row r="203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</row>
    <row r="204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</row>
    <row r="205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</row>
    <row r="206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</row>
    <row r="207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</row>
    <row r="208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</row>
    <row r="209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</row>
    <row r="210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</row>
    <row r="21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</row>
    <row r="212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</row>
    <row r="213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</row>
    <row r="214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</row>
    <row r="215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</row>
    <row r="216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</row>
    <row r="217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</row>
    <row r="218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</row>
    <row r="219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</row>
    <row r="220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</row>
    <row r="22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</row>
    <row r="222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</row>
    <row r="223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</row>
    <row r="224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</row>
    <row r="225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</row>
    <row r="226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</row>
    <row r="227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</row>
    <row r="228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</row>
    <row r="229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</row>
    <row r="230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</row>
    <row r="23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</row>
    <row r="232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</row>
    <row r="233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</row>
    <row r="234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</row>
    <row r="235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</row>
    <row r="236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</row>
    <row r="237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</row>
    <row r="238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</row>
    <row r="239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</row>
    <row r="240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</row>
    <row r="241">
      <c r="A241" s="158"/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</row>
    <row r="242">
      <c r="A242" s="158"/>
      <c r="B242" s="158"/>
      <c r="C242" s="158"/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</row>
    <row r="243">
      <c r="A243" s="158"/>
      <c r="B243" s="158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</row>
    <row r="244">
      <c r="A244" s="158"/>
      <c r="B244" s="158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</row>
    <row r="245">
      <c r="A245" s="158"/>
      <c r="B245" s="158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</row>
    <row r="246">
      <c r="A246" s="158"/>
      <c r="B246" s="158"/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</row>
    <row r="247">
      <c r="A247" s="158"/>
      <c r="B247" s="158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</row>
    <row r="248">
      <c r="A248" s="158"/>
      <c r="B248" s="158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</row>
    <row r="249">
      <c r="A249" s="158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</row>
    <row r="250">
      <c r="A250" s="158"/>
      <c r="B250" s="158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</row>
    <row r="251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</row>
    <row r="252">
      <c r="A252" s="158"/>
      <c r="B252" s="158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</row>
    <row r="253">
      <c r="A253" s="158"/>
      <c r="B253" s="158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</row>
    <row r="254">
      <c r="A254" s="158"/>
      <c r="B254" s="158"/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</row>
    <row r="255">
      <c r="A255" s="158"/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</row>
    <row r="256">
      <c r="A256" s="158"/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</row>
    <row r="257">
      <c r="A257" s="158"/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</row>
    <row r="258">
      <c r="A258" s="158"/>
      <c r="B258" s="158"/>
      <c r="C258" s="158"/>
      <c r="D258" s="158"/>
      <c r="E258" s="158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</row>
    <row r="259">
      <c r="A259" s="158"/>
      <c r="B259" s="158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</row>
    <row r="260">
      <c r="A260" s="158"/>
      <c r="B260" s="158"/>
      <c r="C260" s="158"/>
      <c r="D260" s="158"/>
      <c r="E260" s="158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</row>
    <row r="261">
      <c r="A261" s="158"/>
      <c r="B261" s="158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</row>
    <row r="262">
      <c r="A262" s="158"/>
      <c r="B262" s="158"/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</row>
    <row r="263">
      <c r="A263" s="158"/>
      <c r="B263" s="158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</row>
    <row r="264">
      <c r="A264" s="158"/>
      <c r="B264" s="158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</row>
    <row r="265">
      <c r="A265" s="158"/>
      <c r="B265" s="158"/>
      <c r="C265" s="158"/>
      <c r="D265" s="158"/>
      <c r="E265" s="158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</row>
    <row r="266">
      <c r="A266" s="158"/>
      <c r="B266" s="158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</row>
    <row r="267">
      <c r="A267" s="158"/>
      <c r="B267" s="158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</row>
    <row r="268">
      <c r="A268" s="158"/>
      <c r="B268" s="158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</row>
    <row r="269">
      <c r="A269" s="158"/>
      <c r="B269" s="158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</row>
    <row r="270">
      <c r="A270" s="158"/>
      <c r="B270" s="158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</row>
    <row r="271">
      <c r="A271" s="158"/>
      <c r="B271" s="158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</row>
    <row r="272">
      <c r="A272" s="158"/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</row>
    <row r="273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</row>
    <row r="274">
      <c r="A274" s="158"/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</row>
    <row r="275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</row>
    <row r="276">
      <c r="A276" s="158"/>
      <c r="B276" s="158"/>
      <c r="C276" s="158"/>
      <c r="D276" s="158"/>
      <c r="E276" s="158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</row>
    <row r="277">
      <c r="A277" s="158"/>
      <c r="B277" s="158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</row>
    <row r="278">
      <c r="A278" s="158"/>
      <c r="B278" s="158"/>
      <c r="C278" s="158"/>
      <c r="D278" s="158"/>
      <c r="E278" s="158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</row>
    <row r="279">
      <c r="A279" s="158"/>
      <c r="B279" s="158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</row>
    <row r="280">
      <c r="A280" s="158"/>
      <c r="B280" s="158"/>
      <c r="C280" s="158"/>
      <c r="D280" s="158"/>
      <c r="E280" s="158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</row>
    <row r="281">
      <c r="A281" s="158"/>
      <c r="B281" s="158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</row>
    <row r="282">
      <c r="A282" s="158"/>
      <c r="B282" s="158"/>
      <c r="C282" s="158"/>
      <c r="D282" s="158"/>
      <c r="E282" s="158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</row>
    <row r="283">
      <c r="A283" s="158"/>
      <c r="B283" s="158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</row>
    <row r="284">
      <c r="A284" s="158"/>
      <c r="B284" s="158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</row>
    <row r="285">
      <c r="A285" s="158"/>
      <c r="B285" s="158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</row>
    <row r="286">
      <c r="A286" s="158"/>
      <c r="B286" s="158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</row>
    <row r="287">
      <c r="A287" s="158"/>
      <c r="B287" s="158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</row>
    <row r="288">
      <c r="A288" s="158"/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</row>
    <row r="289">
      <c r="A289" s="158"/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</row>
    <row r="290">
      <c r="A290" s="158"/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</row>
    <row r="291">
      <c r="A291" s="158"/>
      <c r="B291" s="158"/>
      <c r="C291" s="158"/>
      <c r="D291" s="158"/>
      <c r="E291" s="158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</row>
    <row r="292">
      <c r="A292" s="158"/>
      <c r="B292" s="158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</row>
    <row r="293">
      <c r="A293" s="158"/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</row>
    <row r="294">
      <c r="A294" s="158"/>
      <c r="B294" s="158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</row>
    <row r="295">
      <c r="A295" s="158"/>
      <c r="B295" s="158"/>
      <c r="C295" s="158"/>
      <c r="D295" s="158"/>
      <c r="E295" s="158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</row>
    <row r="296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</row>
    <row r="297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</row>
    <row r="298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</row>
    <row r="299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</row>
    <row r="300">
      <c r="A300" s="158"/>
      <c r="B300" s="158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</row>
    <row r="301">
      <c r="A301" s="158"/>
      <c r="B301" s="158"/>
      <c r="C301" s="158"/>
      <c r="D301" s="158"/>
      <c r="E301" s="158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</row>
    <row r="302">
      <c r="A302" s="158"/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</row>
    <row r="303">
      <c r="A303" s="158"/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</row>
    <row r="304">
      <c r="A304" s="158"/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</row>
    <row r="305">
      <c r="A305" s="158"/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</row>
    <row r="306">
      <c r="A306" s="158"/>
      <c r="B306" s="158"/>
      <c r="C306" s="158"/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</row>
    <row r="307">
      <c r="A307" s="158"/>
      <c r="B307" s="158"/>
      <c r="C307" s="158"/>
      <c r="D307" s="158"/>
      <c r="E307" s="158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</row>
    <row r="308">
      <c r="A308" s="158"/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</row>
    <row r="309">
      <c r="A309" s="158"/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</row>
    <row r="310">
      <c r="A310" s="158"/>
      <c r="B310" s="158"/>
      <c r="C310" s="158"/>
      <c r="D310" s="158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</row>
    <row r="311">
      <c r="A311" s="158"/>
      <c r="B311" s="158"/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</row>
    <row r="312">
      <c r="A312" s="158"/>
      <c r="B312" s="158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</row>
    <row r="313">
      <c r="A313" s="158"/>
      <c r="B313" s="158"/>
      <c r="C313" s="158"/>
      <c r="D313" s="158"/>
      <c r="E313" s="158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</row>
    <row r="314">
      <c r="A314" s="158"/>
      <c r="B314" s="158"/>
      <c r="C314" s="158"/>
      <c r="D314" s="158"/>
      <c r="E314" s="158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</row>
    <row r="315">
      <c r="A315" s="158"/>
      <c r="B315" s="158"/>
      <c r="C315" s="158"/>
      <c r="D315" s="158"/>
      <c r="E315" s="158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</row>
    <row r="316">
      <c r="A316" s="158"/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</row>
    <row r="317">
      <c r="A317" s="158"/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</row>
    <row r="318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</row>
    <row r="319">
      <c r="A319" s="158"/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</row>
    <row r="320">
      <c r="A320" s="158"/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</row>
    <row r="321">
      <c r="A321" s="158"/>
      <c r="B321" s="158"/>
      <c r="C321" s="158"/>
      <c r="D321" s="158"/>
      <c r="E321" s="158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</row>
    <row r="322">
      <c r="A322" s="158"/>
      <c r="B322" s="158"/>
      <c r="C322" s="158"/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</row>
    <row r="323">
      <c r="A323" s="158"/>
      <c r="B323" s="158"/>
      <c r="C323" s="158"/>
      <c r="D323" s="158"/>
      <c r="E323" s="158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</row>
    <row r="324">
      <c r="A324" s="158"/>
      <c r="B324" s="158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</row>
    <row r="325">
      <c r="A325" s="158"/>
      <c r="B325" s="158"/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</row>
    <row r="326">
      <c r="A326" s="158"/>
      <c r="B326" s="158"/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</row>
    <row r="327">
      <c r="A327" s="158"/>
      <c r="B327" s="158"/>
      <c r="C327" s="158"/>
      <c r="D327" s="158"/>
      <c r="E327" s="158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</row>
    <row r="328">
      <c r="A328" s="158"/>
      <c r="B328" s="158"/>
      <c r="C328" s="158"/>
      <c r="D328" s="158"/>
      <c r="E328" s="158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</row>
    <row r="329">
      <c r="A329" s="158"/>
      <c r="B329" s="158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</row>
    <row r="330">
      <c r="A330" s="158"/>
      <c r="B330" s="158"/>
      <c r="C330" s="158"/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</row>
    <row r="331">
      <c r="A331" s="158"/>
      <c r="B331" s="158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</row>
    <row r="332">
      <c r="A332" s="158"/>
      <c r="B332" s="158"/>
      <c r="C332" s="158"/>
      <c r="D332" s="158"/>
      <c r="E332" s="158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</row>
    <row r="333">
      <c r="A333" s="158"/>
      <c r="B333" s="158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</row>
    <row r="334">
      <c r="A334" s="158"/>
      <c r="B334" s="158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</row>
    <row r="335">
      <c r="A335" s="158"/>
      <c r="B335" s="158"/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</row>
    <row r="336">
      <c r="A336" s="158"/>
      <c r="B336" s="158"/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</row>
    <row r="337">
      <c r="A337" s="158"/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</row>
    <row r="338">
      <c r="A338" s="158"/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</row>
    <row r="339">
      <c r="A339" s="158"/>
      <c r="B339" s="158"/>
      <c r="C339" s="158"/>
      <c r="D339" s="158"/>
      <c r="E339" s="158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</row>
    <row r="340">
      <c r="A340" s="158"/>
      <c r="B340" s="158"/>
      <c r="C340" s="158"/>
      <c r="D340" s="158"/>
      <c r="E340" s="158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</row>
    <row r="341">
      <c r="A341" s="158"/>
      <c r="B341" s="158"/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</row>
    <row r="342">
      <c r="A342" s="158"/>
      <c r="B342" s="158"/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</row>
    <row r="343">
      <c r="A343" s="158"/>
      <c r="B343" s="158"/>
      <c r="C343" s="158"/>
      <c r="D343" s="158"/>
      <c r="E343" s="158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</row>
    <row r="344">
      <c r="A344" s="158"/>
      <c r="B344" s="158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</row>
    <row r="345">
      <c r="A345" s="158"/>
      <c r="B345" s="158"/>
      <c r="C345" s="158"/>
      <c r="D345" s="158"/>
      <c r="E345" s="158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</row>
    <row r="346">
      <c r="A346" s="158"/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</row>
    <row r="347">
      <c r="A347" s="158"/>
      <c r="B347" s="158"/>
      <c r="C347" s="158"/>
      <c r="D347" s="158"/>
      <c r="E347" s="158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</row>
    <row r="348">
      <c r="A348" s="158"/>
      <c r="B348" s="158"/>
      <c r="C348" s="158"/>
      <c r="D348" s="158"/>
      <c r="E348" s="158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</row>
    <row r="349">
      <c r="A349" s="158"/>
      <c r="B349" s="158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</row>
    <row r="350">
      <c r="A350" s="158"/>
      <c r="B350" s="158"/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</row>
    <row r="351">
      <c r="A351" s="158"/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</row>
    <row r="352">
      <c r="A352" s="158"/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</row>
    <row r="353">
      <c r="A353" s="158"/>
      <c r="B353" s="158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</row>
    <row r="354">
      <c r="A354" s="158"/>
      <c r="B354" s="158"/>
      <c r="C354" s="158"/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</row>
    <row r="355">
      <c r="A355" s="158"/>
      <c r="B355" s="158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</row>
    <row r="356">
      <c r="A356" s="158"/>
      <c r="B356" s="158"/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</row>
    <row r="357">
      <c r="A357" s="158"/>
      <c r="B357" s="158"/>
      <c r="C357" s="158"/>
      <c r="D357" s="158"/>
      <c r="E357" s="158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</row>
    <row r="358">
      <c r="A358" s="158"/>
      <c r="B358" s="158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</row>
    <row r="359">
      <c r="A359" s="158"/>
      <c r="B359" s="158"/>
      <c r="C359" s="158"/>
      <c r="D359" s="158"/>
      <c r="E359" s="158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</row>
    <row r="360">
      <c r="A360" s="158"/>
      <c r="B360" s="158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</row>
    <row r="361">
      <c r="A361" s="158"/>
      <c r="B361" s="158"/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</row>
    <row r="362">
      <c r="A362" s="158"/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</row>
    <row r="363">
      <c r="A363" s="158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</row>
    <row r="364">
      <c r="A364" s="158"/>
      <c r="B364" s="158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</row>
    <row r="365">
      <c r="A365" s="158"/>
      <c r="B365" s="158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</row>
    <row r="366">
      <c r="A366" s="158"/>
      <c r="B366" s="158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</row>
    <row r="367">
      <c r="A367" s="158"/>
      <c r="B367" s="158"/>
      <c r="C367" s="158"/>
      <c r="D367" s="158"/>
      <c r="E367" s="158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</row>
    <row r="368">
      <c r="A368" s="158"/>
      <c r="B368" s="158"/>
      <c r="C368" s="158"/>
      <c r="D368" s="158"/>
      <c r="E368" s="158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</row>
    <row r="369">
      <c r="A369" s="158"/>
      <c r="B369" s="158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</row>
    <row r="370">
      <c r="A370" s="158"/>
      <c r="B370" s="158"/>
      <c r="C370" s="158"/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</row>
    <row r="371">
      <c r="A371" s="158"/>
      <c r="B371" s="158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</row>
    <row r="372">
      <c r="A372" s="158"/>
      <c r="B372" s="158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</row>
    <row r="373">
      <c r="A373" s="158"/>
      <c r="B373" s="158"/>
      <c r="C373" s="158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</row>
    <row r="374">
      <c r="A374" s="158"/>
      <c r="B374" s="158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</row>
    <row r="375">
      <c r="A375" s="158"/>
      <c r="B375" s="158"/>
      <c r="C375" s="158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</row>
    <row r="376">
      <c r="A376" s="158"/>
      <c r="B376" s="158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</row>
    <row r="377">
      <c r="A377" s="158"/>
      <c r="B377" s="158"/>
      <c r="C377" s="158"/>
      <c r="D377" s="158"/>
      <c r="E377" s="158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</row>
    <row r="378">
      <c r="A378" s="158"/>
      <c r="B378" s="158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</row>
    <row r="379">
      <c r="A379" s="158"/>
      <c r="B379" s="158"/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</row>
    <row r="380">
      <c r="A380" s="158"/>
      <c r="B380" s="158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</row>
    <row r="381">
      <c r="A381" s="158"/>
      <c r="B381" s="158"/>
      <c r="C381" s="158"/>
      <c r="D381" s="158"/>
      <c r="E381" s="158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</row>
    <row r="382">
      <c r="A382" s="158"/>
      <c r="B382" s="158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</row>
    <row r="383">
      <c r="A383" s="158"/>
      <c r="B383" s="158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</row>
    <row r="384">
      <c r="A384" s="158"/>
      <c r="B384" s="158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</row>
    <row r="385">
      <c r="A385" s="158"/>
      <c r="B385" s="158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</row>
    <row r="386">
      <c r="A386" s="158"/>
      <c r="B386" s="158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</row>
    <row r="387">
      <c r="A387" s="158"/>
      <c r="B387" s="158"/>
      <c r="C387" s="158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</row>
    <row r="388">
      <c r="A388" s="158"/>
      <c r="B388" s="158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</row>
    <row r="389">
      <c r="A389" s="158"/>
      <c r="B389" s="158"/>
      <c r="C389" s="158"/>
      <c r="D389" s="158"/>
      <c r="E389" s="158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</row>
    <row r="390">
      <c r="A390" s="158"/>
      <c r="B390" s="158"/>
      <c r="C390" s="158"/>
      <c r="D390" s="158"/>
      <c r="E390" s="158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</row>
    <row r="391">
      <c r="A391" s="158"/>
      <c r="B391" s="158"/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</row>
    <row r="392">
      <c r="A392" s="158"/>
      <c r="B392" s="158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</row>
    <row r="393">
      <c r="A393" s="158"/>
      <c r="B393" s="158"/>
      <c r="C393" s="158"/>
      <c r="D393" s="158"/>
      <c r="E393" s="158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</row>
    <row r="394">
      <c r="A394" s="158"/>
      <c r="B394" s="158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</row>
    <row r="395">
      <c r="A395" s="158"/>
      <c r="B395" s="158"/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</row>
    <row r="396">
      <c r="A396" s="158"/>
      <c r="B396" s="158"/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</row>
    <row r="397">
      <c r="A397" s="158"/>
      <c r="B397" s="158"/>
      <c r="C397" s="158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</row>
    <row r="398">
      <c r="A398" s="158"/>
      <c r="B398" s="158"/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</row>
    <row r="399">
      <c r="A399" s="158"/>
      <c r="B399" s="158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</row>
    <row r="400">
      <c r="A400" s="158"/>
      <c r="B400" s="158"/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</row>
    <row r="401">
      <c r="A401" s="158"/>
      <c r="B401" s="158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</row>
    <row r="402">
      <c r="A402" s="158"/>
      <c r="B402" s="158"/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</row>
    <row r="403">
      <c r="A403" s="158"/>
      <c r="B403" s="158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</row>
    <row r="404">
      <c r="A404" s="158"/>
      <c r="B404" s="158"/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</row>
    <row r="405">
      <c r="A405" s="158"/>
      <c r="B405" s="158"/>
      <c r="C405" s="158"/>
      <c r="D405" s="158"/>
      <c r="E405" s="158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</row>
    <row r="406">
      <c r="A406" s="158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</row>
    <row r="407">
      <c r="A407" s="158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</row>
    <row r="408">
      <c r="A408" s="158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</row>
    <row r="409">
      <c r="A409" s="158"/>
      <c r="B409" s="158"/>
      <c r="C409" s="158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</row>
    <row r="410">
      <c r="A410" s="158"/>
      <c r="B410" s="158"/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</row>
    <row r="411">
      <c r="A411" s="158"/>
      <c r="B411" s="158"/>
      <c r="C411" s="158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</row>
    <row r="412">
      <c r="A412" s="158"/>
      <c r="B412" s="158"/>
      <c r="C412" s="158"/>
      <c r="D412" s="158"/>
      <c r="E412" s="158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</row>
    <row r="413">
      <c r="A413" s="158"/>
      <c r="B413" s="158"/>
      <c r="C413" s="158"/>
      <c r="D413" s="158"/>
      <c r="E413" s="158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</row>
    <row r="414">
      <c r="A414" s="158"/>
      <c r="B414" s="158"/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</row>
    <row r="415">
      <c r="A415" s="158"/>
      <c r="B415" s="158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</row>
    <row r="416">
      <c r="A416" s="158"/>
      <c r="B416" s="158"/>
      <c r="C416" s="158"/>
      <c r="D416" s="158"/>
      <c r="E416" s="158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</row>
    <row r="417">
      <c r="A417" s="158"/>
      <c r="B417" s="158"/>
      <c r="C417" s="158"/>
      <c r="D417" s="158"/>
      <c r="E417" s="158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</row>
    <row r="418">
      <c r="A418" s="158"/>
      <c r="B418" s="158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</row>
    <row r="419">
      <c r="A419" s="158"/>
      <c r="B419" s="158"/>
      <c r="C419" s="158"/>
      <c r="D419" s="158"/>
      <c r="E419" s="158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</row>
    <row r="420">
      <c r="A420" s="158"/>
      <c r="B420" s="158"/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</row>
    <row r="421">
      <c r="A421" s="158"/>
      <c r="B421" s="158"/>
      <c r="C421" s="158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</row>
    <row r="422">
      <c r="A422" s="158"/>
      <c r="B422" s="158"/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</row>
    <row r="423">
      <c r="A423" s="158"/>
      <c r="B423" s="158"/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</row>
    <row r="424">
      <c r="A424" s="158"/>
      <c r="B424" s="158"/>
      <c r="C424" s="158"/>
      <c r="D424" s="158"/>
      <c r="E424" s="158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</row>
    <row r="425">
      <c r="A425" s="158"/>
      <c r="B425" s="158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</row>
    <row r="426">
      <c r="A426" s="158"/>
      <c r="B426" s="158"/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</row>
    <row r="427">
      <c r="A427" s="158"/>
      <c r="B427" s="158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</row>
    <row r="428">
      <c r="A428" s="158"/>
      <c r="B428" s="158"/>
      <c r="C428" s="158"/>
      <c r="D428" s="158"/>
      <c r="E428" s="158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</row>
    <row r="429">
      <c r="A429" s="158"/>
      <c r="B429" s="158"/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</row>
    <row r="430">
      <c r="A430" s="158"/>
      <c r="B430" s="158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</row>
    <row r="431">
      <c r="A431" s="158"/>
      <c r="B431" s="158"/>
      <c r="C431" s="158"/>
      <c r="D431" s="158"/>
      <c r="E431" s="158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</row>
    <row r="432">
      <c r="A432" s="158"/>
      <c r="B432" s="158"/>
      <c r="C432" s="158"/>
      <c r="D432" s="158"/>
      <c r="E432" s="158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</row>
    <row r="433">
      <c r="A433" s="158"/>
      <c r="B433" s="158"/>
      <c r="C433" s="158"/>
      <c r="D433" s="158"/>
      <c r="E433" s="158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</row>
    <row r="434">
      <c r="A434" s="158"/>
      <c r="B434" s="158"/>
      <c r="C434" s="158"/>
      <c r="D434" s="158"/>
      <c r="E434" s="158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</row>
    <row r="435">
      <c r="A435" s="158"/>
      <c r="B435" s="158"/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</row>
    <row r="436">
      <c r="A436" s="158"/>
      <c r="B436" s="158"/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</row>
    <row r="437">
      <c r="A437" s="158"/>
      <c r="B437" s="158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</row>
    <row r="438">
      <c r="A438" s="158"/>
      <c r="B438" s="158"/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</row>
    <row r="439">
      <c r="A439" s="158"/>
      <c r="B439" s="158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</row>
    <row r="440">
      <c r="A440" s="158"/>
      <c r="B440" s="158"/>
      <c r="C440" s="158"/>
      <c r="D440" s="158"/>
      <c r="E440" s="158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</row>
    <row r="441">
      <c r="A441" s="158"/>
      <c r="B441" s="158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</row>
    <row r="442">
      <c r="A442" s="158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</row>
    <row r="443">
      <c r="A443" s="158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</row>
    <row r="444">
      <c r="A444" s="158"/>
      <c r="B444" s="158"/>
      <c r="C444" s="158"/>
      <c r="D444" s="158"/>
      <c r="E444" s="158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</row>
    <row r="445">
      <c r="A445" s="158"/>
      <c r="B445" s="158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</row>
    <row r="446">
      <c r="A446" s="158"/>
      <c r="B446" s="158"/>
      <c r="C446" s="158"/>
      <c r="D446" s="158"/>
      <c r="E446" s="158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</row>
    <row r="447">
      <c r="A447" s="158"/>
      <c r="B447" s="158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</row>
    <row r="448">
      <c r="A448" s="158"/>
      <c r="B448" s="158"/>
      <c r="C448" s="158"/>
      <c r="D448" s="158"/>
      <c r="E448" s="158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</row>
    <row r="449">
      <c r="A449" s="158"/>
      <c r="B449" s="158"/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</row>
    <row r="450">
      <c r="A450" s="158"/>
      <c r="B450" s="158"/>
      <c r="C450" s="158"/>
      <c r="D450" s="158"/>
      <c r="E450" s="158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</row>
    <row r="451">
      <c r="A451" s="158"/>
      <c r="B451" s="158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</row>
    <row r="452">
      <c r="A452" s="158"/>
      <c r="B452" s="158"/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</row>
    <row r="453">
      <c r="A453" s="158"/>
      <c r="B453" s="158"/>
      <c r="C453" s="158"/>
      <c r="D453" s="158"/>
      <c r="E453" s="158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</row>
    <row r="454">
      <c r="A454" s="158"/>
      <c r="B454" s="158"/>
      <c r="C454" s="158"/>
      <c r="D454" s="158"/>
      <c r="E454" s="158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</row>
    <row r="455">
      <c r="A455" s="158"/>
      <c r="B455" s="158"/>
      <c r="C455" s="158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</row>
    <row r="456">
      <c r="A456" s="158"/>
      <c r="B456" s="158"/>
      <c r="C456" s="158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</row>
    <row r="457">
      <c r="A457" s="158"/>
      <c r="B457" s="158"/>
      <c r="C457" s="158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</row>
    <row r="458">
      <c r="A458" s="158"/>
      <c r="B458" s="158"/>
      <c r="C458" s="158"/>
      <c r="D458" s="158"/>
      <c r="E458" s="158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</row>
    <row r="459">
      <c r="A459" s="158"/>
      <c r="B459" s="158"/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</row>
    <row r="460">
      <c r="A460" s="158"/>
      <c r="B460" s="158"/>
      <c r="C460" s="158"/>
      <c r="D460" s="158"/>
      <c r="E460" s="158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</row>
    <row r="461">
      <c r="A461" s="158"/>
      <c r="B461" s="158"/>
      <c r="C461" s="158"/>
      <c r="D461" s="158"/>
      <c r="E461" s="158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</row>
    <row r="462">
      <c r="A462" s="158"/>
      <c r="B462" s="158"/>
      <c r="C462" s="158"/>
      <c r="D462" s="158"/>
      <c r="E462" s="158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</row>
    <row r="463">
      <c r="A463" s="158"/>
      <c r="B463" s="158"/>
      <c r="C463" s="158"/>
      <c r="D463" s="158"/>
      <c r="E463" s="158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</row>
    <row r="464">
      <c r="A464" s="158"/>
      <c r="B464" s="158"/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</row>
    <row r="465">
      <c r="A465" s="158"/>
      <c r="B465" s="158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</row>
    <row r="466">
      <c r="A466" s="158"/>
      <c r="B466" s="158"/>
      <c r="C466" s="158"/>
      <c r="D466" s="158"/>
      <c r="E466" s="158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</row>
    <row r="467">
      <c r="A467" s="158"/>
      <c r="B467" s="158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</row>
    <row r="468">
      <c r="A468" s="158"/>
      <c r="B468" s="158"/>
      <c r="C468" s="158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</row>
    <row r="469">
      <c r="A469" s="158"/>
      <c r="B469" s="158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</row>
    <row r="470">
      <c r="A470" s="158"/>
      <c r="B470" s="158"/>
      <c r="C470" s="158"/>
      <c r="D470" s="158"/>
      <c r="E470" s="158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</row>
    <row r="471">
      <c r="A471" s="158"/>
      <c r="B471" s="158"/>
      <c r="C471" s="158"/>
      <c r="D471" s="158"/>
      <c r="E471" s="158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</row>
    <row r="472">
      <c r="A472" s="158"/>
      <c r="B472" s="158"/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</row>
    <row r="473">
      <c r="A473" s="158"/>
      <c r="B473" s="158"/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</row>
    <row r="474">
      <c r="A474" s="158"/>
      <c r="B474" s="158"/>
      <c r="C474" s="158"/>
      <c r="D474" s="158"/>
      <c r="E474" s="158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</row>
    <row r="475">
      <c r="A475" s="158"/>
      <c r="B475" s="158"/>
      <c r="C475" s="158"/>
      <c r="D475" s="158"/>
      <c r="E475" s="158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</row>
    <row r="476">
      <c r="A476" s="158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</row>
    <row r="477">
      <c r="A477" s="158"/>
      <c r="B477" s="158"/>
      <c r="C477" s="158"/>
      <c r="D477" s="158"/>
      <c r="E477" s="158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</row>
    <row r="478">
      <c r="A478" s="158"/>
      <c r="B478" s="158"/>
      <c r="C478" s="158"/>
      <c r="D478" s="158"/>
      <c r="E478" s="158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</row>
    <row r="479">
      <c r="A479" s="158"/>
      <c r="B479" s="158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</row>
    <row r="480">
      <c r="A480" s="158"/>
      <c r="B480" s="158"/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</row>
    <row r="481">
      <c r="A481" s="158"/>
      <c r="B481" s="158"/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</row>
    <row r="482">
      <c r="A482" s="158"/>
      <c r="B482" s="158"/>
      <c r="C482" s="158"/>
      <c r="D482" s="158"/>
      <c r="E482" s="158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</row>
    <row r="483">
      <c r="A483" s="158"/>
      <c r="B483" s="158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</row>
    <row r="484">
      <c r="A484" s="158"/>
      <c r="B484" s="158"/>
      <c r="C484" s="158"/>
      <c r="D484" s="158"/>
      <c r="E484" s="158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</row>
    <row r="485">
      <c r="A485" s="158"/>
      <c r="B485" s="158"/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</row>
    <row r="486">
      <c r="A486" s="158"/>
      <c r="B486" s="158"/>
      <c r="C486" s="158"/>
      <c r="D486" s="158"/>
      <c r="E486" s="158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</row>
    <row r="487">
      <c r="A487" s="158"/>
      <c r="B487" s="158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</row>
    <row r="488">
      <c r="A488" s="158"/>
      <c r="B488" s="158"/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</row>
    <row r="489">
      <c r="A489" s="158"/>
      <c r="B489" s="158"/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</row>
    <row r="490">
      <c r="A490" s="158"/>
      <c r="B490" s="158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</row>
    <row r="491">
      <c r="A491" s="158"/>
      <c r="B491" s="158"/>
      <c r="C491" s="158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</row>
    <row r="492">
      <c r="A492" s="158"/>
      <c r="B492" s="158"/>
      <c r="C492" s="158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</row>
    <row r="493">
      <c r="A493" s="158"/>
      <c r="B493" s="158"/>
      <c r="C493" s="158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</row>
    <row r="494">
      <c r="A494" s="158"/>
      <c r="B494" s="158"/>
      <c r="C494" s="158"/>
      <c r="D494" s="158"/>
      <c r="E494" s="158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</row>
    <row r="495">
      <c r="A495" s="158"/>
      <c r="B495" s="158"/>
      <c r="C495" s="158"/>
      <c r="D495" s="158"/>
      <c r="E495" s="158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</row>
    <row r="496">
      <c r="A496" s="158"/>
      <c r="B496" s="158"/>
      <c r="C496" s="158"/>
      <c r="D496" s="158"/>
      <c r="E496" s="158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</row>
    <row r="497">
      <c r="A497" s="158"/>
      <c r="B497" s="158"/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</row>
    <row r="498">
      <c r="A498" s="158"/>
      <c r="B498" s="158"/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</row>
    <row r="499">
      <c r="A499" s="158"/>
      <c r="B499" s="158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</row>
    <row r="500">
      <c r="A500" s="158"/>
      <c r="B500" s="158"/>
      <c r="C500" s="158"/>
      <c r="D500" s="158"/>
      <c r="E500" s="158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</row>
    <row r="501">
      <c r="A501" s="158"/>
      <c r="B501" s="158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</row>
    <row r="502">
      <c r="A502" s="158"/>
      <c r="B502" s="158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</row>
    <row r="503">
      <c r="A503" s="158"/>
      <c r="B503" s="158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</row>
    <row r="504">
      <c r="A504" s="158"/>
      <c r="B504" s="158"/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</row>
    <row r="505">
      <c r="A505" s="158"/>
      <c r="B505" s="158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</row>
    <row r="506">
      <c r="A506" s="158"/>
      <c r="B506" s="158"/>
      <c r="C506" s="158"/>
      <c r="D506" s="158"/>
      <c r="E506" s="158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</row>
    <row r="507">
      <c r="A507" s="158"/>
      <c r="B507" s="158"/>
      <c r="C507" s="158"/>
      <c r="D507" s="158"/>
      <c r="E507" s="158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</row>
    <row r="508">
      <c r="A508" s="158"/>
      <c r="B508" s="158"/>
      <c r="C508" s="158"/>
      <c r="D508" s="158"/>
      <c r="E508" s="158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</row>
    <row r="509">
      <c r="A509" s="158"/>
      <c r="B509" s="158"/>
      <c r="C509" s="158"/>
      <c r="D509" s="158"/>
      <c r="E509" s="158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</row>
    <row r="510">
      <c r="A510" s="158"/>
      <c r="B510" s="158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</row>
    <row r="511">
      <c r="A511" s="158"/>
      <c r="B511" s="158"/>
      <c r="C511" s="158"/>
      <c r="D511" s="158"/>
      <c r="E511" s="158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</row>
    <row r="512">
      <c r="A512" s="158"/>
      <c r="B512" s="158"/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</row>
    <row r="513">
      <c r="A513" s="158"/>
      <c r="B513" s="158"/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</row>
    <row r="514">
      <c r="A514" s="158"/>
      <c r="B514" s="158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</row>
    <row r="515">
      <c r="A515" s="158"/>
      <c r="B515" s="158"/>
      <c r="C515" s="158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</row>
    <row r="516">
      <c r="A516" s="158"/>
      <c r="B516" s="158"/>
      <c r="C516" s="158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</row>
    <row r="517">
      <c r="A517" s="158"/>
      <c r="B517" s="158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</row>
    <row r="518">
      <c r="A518" s="158"/>
      <c r="B518" s="158"/>
      <c r="C518" s="158"/>
      <c r="D518" s="158"/>
      <c r="E518" s="158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</row>
    <row r="519">
      <c r="A519" s="158"/>
      <c r="B519" s="158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</row>
    <row r="520">
      <c r="A520" s="158"/>
      <c r="B520" s="158"/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</row>
    <row r="521">
      <c r="A521" s="158"/>
      <c r="B521" s="158"/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</row>
    <row r="522">
      <c r="A522" s="158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</row>
    <row r="523">
      <c r="A523" s="158"/>
      <c r="B523" s="158"/>
      <c r="C523" s="158"/>
      <c r="D523" s="158"/>
      <c r="E523" s="158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</row>
    <row r="524">
      <c r="A524" s="158"/>
      <c r="B524" s="158"/>
      <c r="C524" s="158"/>
      <c r="D524" s="158"/>
      <c r="E524" s="158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</row>
    <row r="525">
      <c r="A525" s="158"/>
      <c r="B525" s="158"/>
      <c r="C525" s="158"/>
      <c r="D525" s="158"/>
      <c r="E525" s="158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</row>
    <row r="526">
      <c r="A526" s="158"/>
      <c r="B526" s="158"/>
      <c r="C526" s="158"/>
      <c r="D526" s="158"/>
      <c r="E526" s="158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</row>
    <row r="527">
      <c r="A527" s="158"/>
      <c r="B527" s="158"/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</row>
    <row r="528">
      <c r="A528" s="158"/>
      <c r="B528" s="158"/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</row>
    <row r="529">
      <c r="A529" s="158"/>
      <c r="B529" s="158"/>
      <c r="C529" s="158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</row>
    <row r="530">
      <c r="A530" s="158"/>
      <c r="B530" s="158"/>
      <c r="C530" s="158"/>
      <c r="D530" s="158"/>
      <c r="E530" s="158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</row>
    <row r="531">
      <c r="A531" s="158"/>
      <c r="B531" s="158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</row>
    <row r="532">
      <c r="A532" s="158"/>
      <c r="B532" s="158"/>
      <c r="C532" s="158"/>
      <c r="D532" s="158"/>
      <c r="E532" s="158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</row>
    <row r="533">
      <c r="A533" s="158"/>
      <c r="B533" s="158"/>
      <c r="C533" s="158"/>
      <c r="D533" s="158"/>
      <c r="E533" s="158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</row>
    <row r="534">
      <c r="A534" s="158"/>
      <c r="B534" s="158"/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</row>
    <row r="535">
      <c r="A535" s="158"/>
      <c r="B535" s="158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</row>
    <row r="536">
      <c r="A536" s="158"/>
      <c r="B536" s="158"/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</row>
    <row r="537">
      <c r="A537" s="158"/>
      <c r="B537" s="158"/>
      <c r="C537" s="158"/>
      <c r="D537" s="158"/>
      <c r="E537" s="158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</row>
    <row r="538">
      <c r="A538" s="158"/>
      <c r="B538" s="158"/>
      <c r="C538" s="158"/>
      <c r="D538" s="158"/>
      <c r="E538" s="158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</row>
    <row r="539">
      <c r="A539" s="158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</row>
    <row r="540">
      <c r="A540" s="158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</row>
    <row r="541">
      <c r="A541" s="158"/>
      <c r="B541" s="158"/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</row>
    <row r="542">
      <c r="A542" s="158"/>
      <c r="B542" s="158"/>
      <c r="C542" s="158"/>
      <c r="D542" s="158"/>
      <c r="E542" s="158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</row>
    <row r="543">
      <c r="A543" s="158"/>
      <c r="B543" s="158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</row>
    <row r="544">
      <c r="A544" s="158"/>
      <c r="B544" s="158"/>
      <c r="C544" s="158"/>
      <c r="D544" s="158"/>
      <c r="E544" s="158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</row>
    <row r="545">
      <c r="A545" s="158"/>
      <c r="B545" s="158"/>
      <c r="C545" s="158"/>
      <c r="D545" s="158"/>
      <c r="E545" s="158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</row>
    <row r="546">
      <c r="A546" s="158"/>
      <c r="B546" s="158"/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</row>
    <row r="547">
      <c r="A547" s="158"/>
      <c r="B547" s="158"/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</row>
    <row r="548">
      <c r="A548" s="158"/>
      <c r="B548" s="158"/>
      <c r="C548" s="158"/>
      <c r="D548" s="158"/>
      <c r="E548" s="158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</row>
    <row r="549">
      <c r="A549" s="158"/>
      <c r="B549" s="158"/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</row>
    <row r="550">
      <c r="A550" s="158"/>
      <c r="B550" s="158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</row>
    <row r="551">
      <c r="A551" s="158"/>
      <c r="B551" s="158"/>
      <c r="C551" s="158"/>
      <c r="D551" s="158"/>
      <c r="E551" s="158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</row>
    <row r="552">
      <c r="A552" s="158"/>
      <c r="B552" s="158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</row>
    <row r="553">
      <c r="A553" s="158"/>
      <c r="B553" s="158"/>
      <c r="C553" s="158"/>
      <c r="D553" s="158"/>
      <c r="E553" s="158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</row>
    <row r="554">
      <c r="A554" s="158"/>
      <c r="B554" s="158"/>
      <c r="C554" s="158"/>
      <c r="D554" s="158"/>
      <c r="E554" s="158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</row>
    <row r="555">
      <c r="A555" s="158"/>
      <c r="B555" s="158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</row>
    <row r="556">
      <c r="A556" s="158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</row>
    <row r="557">
      <c r="A557" s="158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</row>
    <row r="558">
      <c r="A558" s="158"/>
      <c r="B558" s="158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</row>
    <row r="559">
      <c r="A559" s="158"/>
      <c r="B559" s="158"/>
      <c r="C559" s="158"/>
      <c r="D559" s="158"/>
      <c r="E559" s="158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</row>
    <row r="560">
      <c r="A560" s="158"/>
      <c r="B560" s="158"/>
      <c r="C560" s="158"/>
      <c r="D560" s="158"/>
      <c r="E560" s="158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</row>
    <row r="561">
      <c r="A561" s="158"/>
      <c r="B561" s="158"/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</row>
    <row r="562">
      <c r="A562" s="158"/>
      <c r="B562" s="158"/>
      <c r="C562" s="158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</row>
    <row r="563">
      <c r="A563" s="158"/>
      <c r="B563" s="158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</row>
    <row r="564">
      <c r="A564" s="158"/>
      <c r="B564" s="158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</row>
    <row r="565">
      <c r="A565" s="158"/>
      <c r="B565" s="158"/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</row>
    <row r="566">
      <c r="A566" s="158"/>
      <c r="B566" s="158"/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</row>
    <row r="567">
      <c r="A567" s="158"/>
      <c r="B567" s="158"/>
      <c r="C567" s="158"/>
      <c r="D567" s="158"/>
      <c r="E567" s="158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</row>
    <row r="568">
      <c r="A568" s="158"/>
      <c r="B568" s="158"/>
      <c r="C568" s="158"/>
      <c r="D568" s="158"/>
      <c r="E568" s="158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</row>
    <row r="569">
      <c r="A569" s="158"/>
      <c r="B569" s="158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</row>
    <row r="570">
      <c r="A570" s="158"/>
      <c r="B570" s="158"/>
      <c r="C570" s="158"/>
      <c r="D570" s="158"/>
      <c r="E570" s="158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</row>
    <row r="571">
      <c r="A571" s="158"/>
      <c r="B571" s="158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</row>
    <row r="572">
      <c r="A572" s="158"/>
      <c r="B572" s="158"/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</row>
    <row r="573">
      <c r="A573" s="158"/>
      <c r="B573" s="158"/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</row>
    <row r="574">
      <c r="A574" s="158"/>
      <c r="B574" s="158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</row>
    <row r="575">
      <c r="A575" s="158"/>
      <c r="B575" s="158"/>
      <c r="C575" s="158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</row>
    <row r="576">
      <c r="A576" s="158"/>
      <c r="B576" s="158"/>
      <c r="C576" s="158"/>
      <c r="D576" s="158"/>
      <c r="E576" s="158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</row>
    <row r="577">
      <c r="A577" s="158"/>
      <c r="B577" s="158"/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</row>
    <row r="578">
      <c r="A578" s="158"/>
      <c r="B578" s="158"/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</row>
    <row r="579">
      <c r="A579" s="158"/>
      <c r="B579" s="158"/>
      <c r="C579" s="158"/>
      <c r="D579" s="158"/>
      <c r="E579" s="158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</row>
    <row r="580">
      <c r="A580" s="158"/>
      <c r="B580" s="158"/>
      <c r="C580" s="158"/>
      <c r="D580" s="158"/>
      <c r="E580" s="158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</row>
    <row r="581">
      <c r="A581" s="158"/>
      <c r="B581" s="158"/>
      <c r="C581" s="158"/>
      <c r="D581" s="158"/>
      <c r="E581" s="158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</row>
    <row r="582">
      <c r="A582" s="158"/>
      <c r="B582" s="158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</row>
    <row r="583">
      <c r="A583" s="158"/>
      <c r="B583" s="158"/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</row>
    <row r="584">
      <c r="A584" s="158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</row>
    <row r="585">
      <c r="A585" s="158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</row>
    <row r="586">
      <c r="A586" s="158"/>
      <c r="B586" s="158"/>
      <c r="C586" s="158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</row>
    <row r="587">
      <c r="A587" s="158"/>
      <c r="B587" s="158"/>
      <c r="C587" s="158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</row>
    <row r="588">
      <c r="A588" s="158"/>
      <c r="B588" s="158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</row>
    <row r="589">
      <c r="A589" s="158"/>
      <c r="B589" s="158"/>
      <c r="C589" s="158"/>
      <c r="D589" s="158"/>
      <c r="E589" s="158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</row>
    <row r="590">
      <c r="A590" s="158"/>
      <c r="B590" s="158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</row>
    <row r="591">
      <c r="A591" s="158"/>
      <c r="B591" s="158"/>
      <c r="C591" s="158"/>
      <c r="D591" s="158"/>
      <c r="E591" s="158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</row>
    <row r="592">
      <c r="A592" s="158"/>
      <c r="B592" s="158"/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</row>
    <row r="593">
      <c r="A593" s="158"/>
      <c r="B593" s="158"/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</row>
    <row r="594">
      <c r="A594" s="158"/>
      <c r="B594" s="158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</row>
    <row r="595">
      <c r="A595" s="158"/>
      <c r="B595" s="158"/>
      <c r="C595" s="158"/>
      <c r="D595" s="158"/>
      <c r="E595" s="158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</row>
    <row r="596">
      <c r="A596" s="158"/>
      <c r="B596" s="158"/>
      <c r="C596" s="158"/>
      <c r="D596" s="158"/>
      <c r="E596" s="158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</row>
    <row r="597">
      <c r="A597" s="158"/>
      <c r="B597" s="158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</row>
    <row r="598">
      <c r="A598" s="158"/>
      <c r="B598" s="158"/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</row>
    <row r="599">
      <c r="A599" s="158"/>
      <c r="B599" s="158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</row>
    <row r="600">
      <c r="A600" s="158"/>
      <c r="B600" s="158"/>
      <c r="C600" s="158"/>
      <c r="D600" s="158"/>
      <c r="E600" s="158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</row>
    <row r="601">
      <c r="A601" s="158"/>
      <c r="B601" s="158"/>
      <c r="C601" s="158"/>
      <c r="D601" s="158"/>
      <c r="E601" s="158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</row>
    <row r="602">
      <c r="A602" s="158"/>
      <c r="B602" s="158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</row>
    <row r="603">
      <c r="A603" s="158"/>
      <c r="B603" s="158"/>
      <c r="C603" s="158"/>
      <c r="D603" s="158"/>
      <c r="E603" s="158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</row>
    <row r="604">
      <c r="A604" s="158"/>
      <c r="B604" s="158"/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</row>
    <row r="605">
      <c r="A605" s="158"/>
      <c r="B605" s="158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</row>
    <row r="606">
      <c r="A606" s="158"/>
      <c r="B606" s="158"/>
      <c r="C606" s="158"/>
      <c r="D606" s="158"/>
      <c r="E606" s="158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</row>
    <row r="607">
      <c r="A607" s="158"/>
      <c r="B607" s="158"/>
      <c r="C607" s="158"/>
      <c r="D607" s="158"/>
      <c r="E607" s="158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</row>
    <row r="608">
      <c r="A608" s="158"/>
      <c r="B608" s="158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</row>
    <row r="609">
      <c r="A609" s="158"/>
      <c r="B609" s="158"/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</row>
    <row r="610">
      <c r="A610" s="158"/>
      <c r="B610" s="158"/>
      <c r="C610" s="158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</row>
    <row r="611">
      <c r="A611" s="158"/>
      <c r="B611" s="158"/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</row>
    <row r="612">
      <c r="A612" s="158"/>
      <c r="B612" s="158"/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</row>
    <row r="613">
      <c r="A613" s="158"/>
      <c r="B613" s="158"/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</row>
    <row r="614">
      <c r="A614" s="158"/>
      <c r="B614" s="158"/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</row>
    <row r="615">
      <c r="A615" s="158"/>
      <c r="B615" s="158"/>
      <c r="C615" s="158"/>
      <c r="D615" s="158"/>
      <c r="E615" s="158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</row>
    <row r="616">
      <c r="A616" s="158"/>
      <c r="B616" s="158"/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</row>
    <row r="617">
      <c r="A617" s="158"/>
      <c r="B617" s="158"/>
      <c r="C617" s="158"/>
      <c r="D617" s="158"/>
      <c r="E617" s="158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</row>
    <row r="618">
      <c r="A618" s="158"/>
      <c r="B618" s="158"/>
      <c r="C618" s="158"/>
      <c r="D618" s="158"/>
      <c r="E618" s="158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</row>
    <row r="619">
      <c r="A619" s="158"/>
      <c r="B619" s="158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</row>
    <row r="620">
      <c r="A620" s="158"/>
      <c r="B620" s="158"/>
      <c r="C620" s="158"/>
      <c r="D620" s="158"/>
      <c r="E620" s="158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</row>
    <row r="621">
      <c r="A621" s="158"/>
      <c r="B621" s="158"/>
      <c r="C621" s="158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</row>
    <row r="622">
      <c r="A622" s="158"/>
      <c r="B622" s="158"/>
      <c r="C622" s="158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</row>
    <row r="623">
      <c r="A623" s="158"/>
      <c r="B623" s="158"/>
      <c r="C623" s="158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</row>
    <row r="624">
      <c r="A624" s="158"/>
      <c r="B624" s="158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</row>
    <row r="625">
      <c r="A625" s="158"/>
      <c r="B625" s="158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</row>
    <row r="626">
      <c r="A626" s="158"/>
      <c r="B626" s="158"/>
      <c r="C626" s="158"/>
      <c r="D626" s="158"/>
      <c r="E626" s="158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</row>
    <row r="627">
      <c r="A627" s="158"/>
      <c r="B627" s="158"/>
      <c r="C627" s="158"/>
      <c r="D627" s="158"/>
      <c r="E627" s="158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</row>
    <row r="628">
      <c r="A628" s="158"/>
      <c r="B628" s="158"/>
      <c r="C628" s="158"/>
      <c r="D628" s="158"/>
      <c r="E628" s="158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</row>
    <row r="629">
      <c r="A629" s="158"/>
      <c r="B629" s="158"/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</row>
    <row r="630">
      <c r="A630" s="158"/>
      <c r="B630" s="158"/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</row>
    <row r="631">
      <c r="A631" s="158"/>
      <c r="B631" s="158"/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</row>
    <row r="632">
      <c r="A632" s="158"/>
      <c r="B632" s="158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</row>
    <row r="633">
      <c r="A633" s="158"/>
      <c r="B633" s="158"/>
      <c r="C633" s="158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</row>
    <row r="634">
      <c r="A634" s="158"/>
      <c r="B634" s="158"/>
      <c r="C634" s="158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</row>
    <row r="635">
      <c r="A635" s="158"/>
      <c r="B635" s="158"/>
      <c r="C635" s="158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</row>
    <row r="636">
      <c r="A636" s="158"/>
      <c r="B636" s="158"/>
      <c r="C636" s="158"/>
      <c r="D636" s="158"/>
      <c r="E636" s="158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</row>
    <row r="637">
      <c r="A637" s="158"/>
      <c r="B637" s="158"/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</row>
    <row r="638">
      <c r="A638" s="158"/>
      <c r="B638" s="158"/>
      <c r="C638" s="158"/>
      <c r="D638" s="158"/>
      <c r="E638" s="158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</row>
    <row r="639">
      <c r="A639" s="158"/>
      <c r="B639" s="158"/>
      <c r="C639" s="158"/>
      <c r="D639" s="158"/>
      <c r="E639" s="158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</row>
    <row r="640">
      <c r="A640" s="158"/>
      <c r="B640" s="158"/>
      <c r="C640" s="158"/>
      <c r="D640" s="158"/>
      <c r="E640" s="158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</row>
    <row r="641">
      <c r="A641" s="158"/>
      <c r="B641" s="158"/>
      <c r="C641" s="158"/>
      <c r="D641" s="158"/>
      <c r="E641" s="158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</row>
    <row r="642">
      <c r="A642" s="158"/>
      <c r="B642" s="158"/>
      <c r="C642" s="158"/>
      <c r="D642" s="158"/>
      <c r="E642" s="158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</row>
    <row r="643">
      <c r="A643" s="158"/>
      <c r="B643" s="158"/>
      <c r="C643" s="158"/>
      <c r="D643" s="158"/>
      <c r="E643" s="158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</row>
    <row r="644">
      <c r="A644" s="158"/>
      <c r="B644" s="158"/>
      <c r="C644" s="158"/>
      <c r="D644" s="158"/>
      <c r="E644" s="158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</row>
    <row r="645">
      <c r="A645" s="158"/>
      <c r="B645" s="158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</row>
    <row r="646">
      <c r="A646" s="158"/>
      <c r="B646" s="158"/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</row>
    <row r="647">
      <c r="A647" s="158"/>
      <c r="B647" s="158"/>
      <c r="C647" s="158"/>
      <c r="D647" s="158"/>
      <c r="E647" s="158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</row>
    <row r="648">
      <c r="A648" s="158"/>
      <c r="B648" s="158"/>
      <c r="C648" s="158"/>
      <c r="D648" s="158"/>
      <c r="E648" s="158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</row>
    <row r="649">
      <c r="A649" s="158"/>
      <c r="B649" s="158"/>
      <c r="C649" s="158"/>
      <c r="D649" s="158"/>
      <c r="E649" s="158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</row>
    <row r="650">
      <c r="A650" s="158"/>
      <c r="B650" s="158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</row>
    <row r="651">
      <c r="A651" s="158"/>
      <c r="B651" s="158"/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</row>
    <row r="652">
      <c r="A652" s="158"/>
      <c r="B652" s="158"/>
      <c r="C652" s="158"/>
      <c r="D652" s="158"/>
      <c r="E652" s="158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</row>
    <row r="653">
      <c r="A653" s="158"/>
      <c r="B653" s="158"/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</row>
    <row r="654">
      <c r="A654" s="158"/>
      <c r="B654" s="158"/>
      <c r="C654" s="158"/>
      <c r="D654" s="158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</row>
    <row r="655">
      <c r="A655" s="158"/>
      <c r="B655" s="158"/>
      <c r="C655" s="158"/>
      <c r="D655" s="158"/>
      <c r="E655" s="158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</row>
    <row r="656">
      <c r="A656" s="158"/>
      <c r="B656" s="158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</row>
    <row r="657">
      <c r="A657" s="158"/>
      <c r="B657" s="158"/>
      <c r="C657" s="158"/>
      <c r="D657" s="158"/>
      <c r="E657" s="158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</row>
    <row r="658">
      <c r="A658" s="158"/>
      <c r="B658" s="158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</row>
    <row r="659">
      <c r="A659" s="158"/>
      <c r="B659" s="158"/>
      <c r="C659" s="158"/>
      <c r="D659" s="158"/>
      <c r="E659" s="158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</row>
    <row r="660">
      <c r="A660" s="158"/>
      <c r="B660" s="158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</row>
    <row r="661">
      <c r="A661" s="158"/>
      <c r="B661" s="158"/>
      <c r="C661" s="158"/>
      <c r="D661" s="158"/>
      <c r="E661" s="158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</row>
    <row r="662">
      <c r="A662" s="158"/>
      <c r="B662" s="158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</row>
    <row r="663">
      <c r="A663" s="158"/>
      <c r="B663" s="158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</row>
    <row r="664">
      <c r="A664" s="158"/>
      <c r="B664" s="158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</row>
    <row r="665">
      <c r="A665" s="158"/>
      <c r="B665" s="158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</row>
    <row r="666">
      <c r="A666" s="158"/>
      <c r="B666" s="158"/>
      <c r="C666" s="158"/>
      <c r="D666" s="158"/>
      <c r="E666" s="158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</row>
    <row r="667">
      <c r="A667" s="158"/>
      <c r="B667" s="158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</row>
    <row r="668">
      <c r="A668" s="158"/>
      <c r="B668" s="158"/>
      <c r="C668" s="158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</row>
    <row r="669">
      <c r="A669" s="158"/>
      <c r="B669" s="158"/>
      <c r="C669" s="158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</row>
    <row r="670">
      <c r="A670" s="158"/>
      <c r="B670" s="158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</row>
    <row r="671">
      <c r="A671" s="158"/>
      <c r="B671" s="158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</row>
    <row r="672">
      <c r="A672" s="158"/>
      <c r="B672" s="158"/>
      <c r="C672" s="158"/>
      <c r="D672" s="158"/>
      <c r="E672" s="158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</row>
    <row r="673">
      <c r="A673" s="158"/>
      <c r="B673" s="158"/>
      <c r="C673" s="158"/>
      <c r="D673" s="158"/>
      <c r="E673" s="158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</row>
    <row r="674">
      <c r="A674" s="158"/>
      <c r="B674" s="158"/>
      <c r="C674" s="158"/>
      <c r="D674" s="158"/>
      <c r="E674" s="158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</row>
    <row r="675">
      <c r="A675" s="158"/>
      <c r="B675" s="158"/>
      <c r="C675" s="158"/>
      <c r="D675" s="158"/>
      <c r="E675" s="158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</row>
    <row r="676">
      <c r="A676" s="158"/>
      <c r="B676" s="158"/>
      <c r="C676" s="158"/>
      <c r="D676" s="158"/>
      <c r="E676" s="158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</row>
    <row r="677">
      <c r="A677" s="158"/>
      <c r="B677" s="158"/>
      <c r="C677" s="158"/>
      <c r="D677" s="158"/>
      <c r="E677" s="158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</row>
    <row r="678">
      <c r="A678" s="158"/>
      <c r="B678" s="158"/>
      <c r="C678" s="158"/>
      <c r="D678" s="158"/>
      <c r="E678" s="158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</row>
    <row r="679">
      <c r="A679" s="158"/>
      <c r="B679" s="158"/>
      <c r="C679" s="158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</row>
    <row r="680">
      <c r="A680" s="158"/>
      <c r="B680" s="158"/>
      <c r="C680" s="158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</row>
    <row r="681">
      <c r="A681" s="158"/>
      <c r="B681" s="158"/>
      <c r="C681" s="158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</row>
    <row r="682">
      <c r="A682" s="158"/>
      <c r="B682" s="158"/>
      <c r="C682" s="158"/>
      <c r="D682" s="158"/>
      <c r="E682" s="158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</row>
    <row r="683">
      <c r="A683" s="158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</row>
    <row r="684">
      <c r="A684" s="158"/>
      <c r="B684" s="158"/>
      <c r="C684" s="158"/>
      <c r="D684" s="158"/>
      <c r="E684" s="158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</row>
    <row r="685">
      <c r="A685" s="158"/>
      <c r="B685" s="158"/>
      <c r="C685" s="158"/>
      <c r="D685" s="158"/>
      <c r="E685" s="158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</row>
    <row r="686">
      <c r="A686" s="158"/>
      <c r="B686" s="158"/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</row>
    <row r="687">
      <c r="A687" s="158"/>
      <c r="B687" s="158"/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</row>
    <row r="688">
      <c r="A688" s="158"/>
      <c r="B688" s="158"/>
      <c r="C688" s="158"/>
      <c r="D688" s="158"/>
      <c r="E688" s="158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</row>
    <row r="689">
      <c r="A689" s="158"/>
      <c r="B689" s="158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</row>
    <row r="690">
      <c r="A690" s="158"/>
      <c r="B690" s="158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</row>
    <row r="691">
      <c r="A691" s="158"/>
      <c r="B691" s="158"/>
      <c r="C691" s="158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</row>
    <row r="692">
      <c r="A692" s="158"/>
      <c r="B692" s="158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</row>
    <row r="693">
      <c r="A693" s="158"/>
      <c r="B693" s="158"/>
      <c r="C693" s="158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</row>
    <row r="694">
      <c r="A694" s="158"/>
      <c r="B694" s="158"/>
      <c r="C694" s="158"/>
      <c r="D694" s="158"/>
      <c r="E694" s="158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</row>
    <row r="695">
      <c r="A695" s="158"/>
      <c r="B695" s="158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</row>
    <row r="696">
      <c r="A696" s="158"/>
      <c r="B696" s="158"/>
      <c r="C696" s="158"/>
      <c r="D696" s="158"/>
      <c r="E696" s="158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</row>
    <row r="697">
      <c r="A697" s="158"/>
      <c r="B697" s="158"/>
      <c r="C697" s="158"/>
      <c r="D697" s="158"/>
      <c r="E697" s="158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</row>
    <row r="698">
      <c r="A698" s="158"/>
      <c r="B698" s="158"/>
      <c r="C698" s="158"/>
      <c r="D698" s="158"/>
      <c r="E698" s="158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</row>
    <row r="699">
      <c r="A699" s="158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</row>
    <row r="700">
      <c r="A700" s="158"/>
      <c r="B700" s="158"/>
      <c r="C700" s="158"/>
      <c r="D700" s="158"/>
      <c r="E700" s="158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</row>
    <row r="701">
      <c r="A701" s="158"/>
      <c r="B701" s="158"/>
      <c r="C701" s="158"/>
      <c r="D701" s="158"/>
      <c r="E701" s="158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</row>
    <row r="702">
      <c r="A702" s="158"/>
      <c r="B702" s="158"/>
      <c r="C702" s="158"/>
      <c r="D702" s="158"/>
      <c r="E702" s="158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</row>
    <row r="703">
      <c r="A703" s="158"/>
      <c r="B703" s="158"/>
      <c r="C703" s="158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</row>
    <row r="704">
      <c r="A704" s="158"/>
      <c r="B704" s="158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</row>
    <row r="705">
      <c r="A705" s="158"/>
      <c r="B705" s="158"/>
      <c r="C705" s="158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</row>
    <row r="706">
      <c r="A706" s="158"/>
      <c r="B706" s="158"/>
      <c r="C706" s="158"/>
      <c r="D706" s="158"/>
      <c r="E706" s="158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</row>
    <row r="707">
      <c r="A707" s="158"/>
      <c r="B707" s="158"/>
      <c r="C707" s="158"/>
      <c r="D707" s="158"/>
      <c r="E707" s="158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</row>
    <row r="708">
      <c r="A708" s="158"/>
      <c r="B708" s="158"/>
      <c r="C708" s="158"/>
      <c r="D708" s="158"/>
      <c r="E708" s="158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</row>
    <row r="709">
      <c r="A709" s="158"/>
      <c r="B709" s="158"/>
      <c r="C709" s="158"/>
      <c r="D709" s="158"/>
      <c r="E709" s="158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</row>
    <row r="710">
      <c r="A710" s="158"/>
      <c r="B710" s="158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</row>
    <row r="711">
      <c r="A711" s="158"/>
      <c r="B711" s="158"/>
      <c r="C711" s="158"/>
      <c r="D711" s="158"/>
      <c r="E711" s="158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</row>
    <row r="712">
      <c r="A712" s="158"/>
      <c r="B712" s="158"/>
      <c r="C712" s="158"/>
      <c r="D712" s="158"/>
      <c r="E712" s="158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</row>
    <row r="713">
      <c r="A713" s="158"/>
      <c r="B713" s="158"/>
      <c r="C713" s="158"/>
      <c r="D713" s="158"/>
      <c r="E713" s="158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</row>
    <row r="714">
      <c r="A714" s="158"/>
      <c r="B714" s="158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</row>
    <row r="715">
      <c r="A715" s="158"/>
      <c r="B715" s="158"/>
      <c r="C715" s="158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</row>
    <row r="716">
      <c r="A716" s="158"/>
      <c r="B716" s="158"/>
      <c r="C716" s="158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</row>
    <row r="717">
      <c r="A717" s="158"/>
      <c r="B717" s="158"/>
      <c r="C717" s="158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</row>
    <row r="718">
      <c r="A718" s="158"/>
      <c r="B718" s="158"/>
      <c r="C718" s="158"/>
      <c r="D718" s="158"/>
      <c r="E718" s="158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</row>
    <row r="719">
      <c r="A719" s="158"/>
      <c r="B719" s="158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</row>
    <row r="720">
      <c r="A720" s="158"/>
      <c r="B720" s="158"/>
      <c r="C720" s="158"/>
      <c r="D720" s="158"/>
      <c r="E720" s="158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</row>
    <row r="721">
      <c r="A721" s="158"/>
      <c r="B721" s="158"/>
      <c r="C721" s="158"/>
      <c r="D721" s="158"/>
      <c r="E721" s="158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</row>
    <row r="722">
      <c r="A722" s="158"/>
      <c r="B722" s="158"/>
      <c r="C722" s="158"/>
      <c r="D722" s="158"/>
      <c r="E722" s="158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</row>
    <row r="723">
      <c r="A723" s="158"/>
      <c r="B723" s="158"/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</row>
    <row r="724">
      <c r="A724" s="158"/>
      <c r="B724" s="158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</row>
    <row r="725">
      <c r="A725" s="158"/>
      <c r="B725" s="158"/>
      <c r="C725" s="158"/>
      <c r="D725" s="158"/>
      <c r="E725" s="158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</row>
    <row r="726">
      <c r="A726" s="158"/>
      <c r="B726" s="158"/>
      <c r="C726" s="158"/>
      <c r="D726" s="158"/>
      <c r="E726" s="158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</row>
    <row r="727">
      <c r="A727" s="158"/>
      <c r="B727" s="158"/>
      <c r="C727" s="158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</row>
    <row r="728">
      <c r="A728" s="158"/>
      <c r="B728" s="158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</row>
    <row r="729">
      <c r="A729" s="158"/>
      <c r="B729" s="158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</row>
    <row r="730">
      <c r="A730" s="158"/>
      <c r="B730" s="158"/>
      <c r="C730" s="158"/>
      <c r="D730" s="158"/>
      <c r="E730" s="158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</row>
    <row r="731">
      <c r="A731" s="158"/>
      <c r="B731" s="158"/>
      <c r="C731" s="158"/>
      <c r="D731" s="158"/>
      <c r="E731" s="158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</row>
    <row r="732">
      <c r="A732" s="158"/>
      <c r="B732" s="158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</row>
    <row r="733">
      <c r="A733" s="158"/>
      <c r="B733" s="158"/>
      <c r="C733" s="158"/>
      <c r="D733" s="158"/>
      <c r="E733" s="158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</row>
    <row r="734">
      <c r="A734" s="158"/>
      <c r="B734" s="158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</row>
    <row r="735">
      <c r="A735" s="158"/>
      <c r="B735" s="158"/>
      <c r="C735" s="158"/>
      <c r="D735" s="158"/>
      <c r="E735" s="158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</row>
    <row r="736">
      <c r="A736" s="158"/>
      <c r="B736" s="158"/>
      <c r="C736" s="158"/>
      <c r="D736" s="158"/>
      <c r="E736" s="158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</row>
    <row r="737">
      <c r="A737" s="158"/>
      <c r="B737" s="158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</row>
    <row r="738">
      <c r="A738" s="158"/>
      <c r="B738" s="158"/>
      <c r="C738" s="158"/>
      <c r="D738" s="158"/>
      <c r="E738" s="158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</row>
    <row r="739">
      <c r="A739" s="158"/>
      <c r="B739" s="158"/>
      <c r="C739" s="158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</row>
    <row r="740">
      <c r="A740" s="158"/>
      <c r="B740" s="158"/>
      <c r="C740" s="158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</row>
    <row r="741">
      <c r="A741" s="158"/>
      <c r="B741" s="158"/>
      <c r="C741" s="158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</row>
    <row r="742">
      <c r="A742" s="158"/>
      <c r="B742" s="158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</row>
    <row r="743">
      <c r="A743" s="158"/>
      <c r="B743" s="158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</row>
    <row r="744">
      <c r="A744" s="158"/>
      <c r="B744" s="158"/>
      <c r="C744" s="158"/>
      <c r="D744" s="158"/>
      <c r="E744" s="158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</row>
    <row r="745">
      <c r="A745" s="158"/>
      <c r="B745" s="158"/>
      <c r="C745" s="158"/>
      <c r="D745" s="158"/>
      <c r="E745" s="158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</row>
    <row r="746">
      <c r="A746" s="158"/>
      <c r="B746" s="158"/>
      <c r="C746" s="158"/>
      <c r="D746" s="158"/>
      <c r="E746" s="158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</row>
    <row r="747">
      <c r="A747" s="158"/>
      <c r="B747" s="158"/>
      <c r="C747" s="158"/>
      <c r="D747" s="158"/>
      <c r="E747" s="158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</row>
    <row r="748">
      <c r="A748" s="158"/>
      <c r="B748" s="158"/>
      <c r="C748" s="158"/>
      <c r="D748" s="158"/>
      <c r="E748" s="158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</row>
    <row r="749">
      <c r="A749" s="158"/>
      <c r="B749" s="158"/>
      <c r="C749" s="158"/>
      <c r="D749" s="158"/>
      <c r="E749" s="158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</row>
    <row r="750">
      <c r="A750" s="158"/>
      <c r="B750" s="158"/>
      <c r="C750" s="158"/>
      <c r="D750" s="158"/>
      <c r="E750" s="158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</row>
    <row r="751">
      <c r="A751" s="158"/>
      <c r="B751" s="158"/>
      <c r="C751" s="158"/>
      <c r="D751" s="158"/>
      <c r="E751" s="158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</row>
    <row r="752">
      <c r="A752" s="158"/>
      <c r="B752" s="158"/>
      <c r="C752" s="158"/>
      <c r="D752" s="158"/>
      <c r="E752" s="158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</row>
    <row r="753">
      <c r="A753" s="158"/>
      <c r="B753" s="158"/>
      <c r="C753" s="158"/>
      <c r="D753" s="158"/>
      <c r="E753" s="158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</row>
    <row r="754">
      <c r="A754" s="158"/>
      <c r="B754" s="158"/>
      <c r="C754" s="158"/>
      <c r="D754" s="158"/>
      <c r="E754" s="158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</row>
    <row r="755">
      <c r="A755" s="158"/>
      <c r="B755" s="158"/>
      <c r="C755" s="158"/>
      <c r="D755" s="158"/>
      <c r="E755" s="158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</row>
    <row r="756">
      <c r="A756" s="158"/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</row>
    <row r="757">
      <c r="A757" s="158"/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</row>
    <row r="758">
      <c r="A758" s="158"/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</row>
    <row r="759">
      <c r="A759" s="158"/>
      <c r="B759" s="158"/>
      <c r="C759" s="158"/>
      <c r="D759" s="158"/>
      <c r="E759" s="158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</row>
    <row r="760">
      <c r="A760" s="158"/>
      <c r="B760" s="158"/>
      <c r="C760" s="158"/>
      <c r="D760" s="158"/>
      <c r="E760" s="158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</row>
    <row r="761">
      <c r="A761" s="158"/>
      <c r="B761" s="158"/>
      <c r="C761" s="158"/>
      <c r="D761" s="158"/>
      <c r="E761" s="158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</row>
    <row r="762">
      <c r="A762" s="158"/>
      <c r="B762" s="158"/>
      <c r="C762" s="158"/>
      <c r="D762" s="158"/>
      <c r="E762" s="158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</row>
    <row r="763">
      <c r="A763" s="158"/>
      <c r="B763" s="158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</row>
    <row r="764">
      <c r="A764" s="158"/>
      <c r="B764" s="158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</row>
    <row r="765">
      <c r="A765" s="158"/>
      <c r="B765" s="158"/>
      <c r="C765" s="158"/>
      <c r="D765" s="158"/>
      <c r="E765" s="158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</row>
    <row r="766">
      <c r="A766" s="158"/>
      <c r="B766" s="158"/>
      <c r="C766" s="158"/>
      <c r="D766" s="158"/>
      <c r="E766" s="158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</row>
    <row r="767">
      <c r="A767" s="158"/>
      <c r="B767" s="158"/>
      <c r="C767" s="158"/>
      <c r="D767" s="158"/>
      <c r="E767" s="158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</row>
    <row r="768">
      <c r="A768" s="158"/>
      <c r="B768" s="158"/>
      <c r="C768" s="158"/>
      <c r="D768" s="158"/>
      <c r="E768" s="158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</row>
    <row r="769">
      <c r="A769" s="158"/>
      <c r="B769" s="158"/>
      <c r="C769" s="158"/>
      <c r="D769" s="158"/>
      <c r="E769" s="158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</row>
    <row r="770">
      <c r="A770" s="158"/>
      <c r="B770" s="158"/>
      <c r="C770" s="158"/>
      <c r="D770" s="158"/>
      <c r="E770" s="158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</row>
    <row r="771">
      <c r="A771" s="158"/>
      <c r="B771" s="158"/>
      <c r="C771" s="158"/>
      <c r="D771" s="158"/>
      <c r="E771" s="158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</row>
    <row r="772">
      <c r="A772" s="158"/>
      <c r="B772" s="158"/>
      <c r="C772" s="158"/>
      <c r="D772" s="158"/>
      <c r="E772" s="158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</row>
    <row r="773">
      <c r="A773" s="158"/>
      <c r="B773" s="158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</row>
    <row r="774">
      <c r="A774" s="158"/>
      <c r="B774" s="158"/>
      <c r="C774" s="158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</row>
    <row r="775">
      <c r="A775" s="158"/>
      <c r="B775" s="158"/>
      <c r="C775" s="158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</row>
    <row r="776">
      <c r="A776" s="158"/>
      <c r="B776" s="158"/>
      <c r="C776" s="158"/>
      <c r="D776" s="158"/>
      <c r="E776" s="158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</row>
    <row r="777">
      <c r="A777" s="158"/>
      <c r="B777" s="158"/>
      <c r="C777" s="158"/>
      <c r="D777" s="158"/>
      <c r="E777" s="158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</row>
    <row r="778">
      <c r="A778" s="158"/>
      <c r="B778" s="158"/>
      <c r="C778" s="158"/>
      <c r="D778" s="158"/>
      <c r="E778" s="158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</row>
    <row r="779">
      <c r="A779" s="158"/>
      <c r="B779" s="158"/>
      <c r="C779" s="158"/>
      <c r="D779" s="158"/>
      <c r="E779" s="158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</row>
    <row r="780">
      <c r="A780" s="158"/>
      <c r="B780" s="158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</row>
    <row r="781">
      <c r="A781" s="158"/>
      <c r="B781" s="158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</row>
    <row r="782">
      <c r="A782" s="158"/>
      <c r="B782" s="158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</row>
    <row r="783">
      <c r="A783" s="158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</row>
    <row r="784">
      <c r="A784" s="158"/>
      <c r="B784" s="158"/>
      <c r="C784" s="158"/>
      <c r="D784" s="158"/>
      <c r="E784" s="158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</row>
    <row r="785">
      <c r="A785" s="158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</row>
    <row r="786">
      <c r="A786" s="158"/>
      <c r="B786" s="158"/>
      <c r="C786" s="158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</row>
    <row r="787">
      <c r="A787" s="158"/>
      <c r="B787" s="158"/>
      <c r="C787" s="158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</row>
    <row r="788">
      <c r="A788" s="158"/>
      <c r="B788" s="158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</row>
    <row r="789">
      <c r="A789" s="158"/>
      <c r="B789" s="158"/>
      <c r="C789" s="158"/>
      <c r="D789" s="158"/>
      <c r="E789" s="158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</row>
    <row r="790">
      <c r="A790" s="158"/>
      <c r="B790" s="158"/>
      <c r="C790" s="158"/>
      <c r="D790" s="158"/>
      <c r="E790" s="158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</row>
    <row r="791">
      <c r="A791" s="158"/>
      <c r="B791" s="158"/>
      <c r="C791" s="158"/>
      <c r="D791" s="158"/>
      <c r="E791" s="158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</row>
    <row r="792">
      <c r="A792" s="158"/>
      <c r="B792" s="158"/>
      <c r="C792" s="158"/>
      <c r="D792" s="158"/>
      <c r="E792" s="158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</row>
    <row r="793">
      <c r="A793" s="158"/>
      <c r="B793" s="158"/>
      <c r="C793" s="158"/>
      <c r="D793" s="158"/>
      <c r="E793" s="158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</row>
    <row r="794">
      <c r="A794" s="158"/>
      <c r="B794" s="158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</row>
    <row r="795">
      <c r="A795" s="158"/>
      <c r="B795" s="158"/>
      <c r="C795" s="158"/>
      <c r="D795" s="158"/>
      <c r="E795" s="158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</row>
    <row r="796">
      <c r="A796" s="158"/>
      <c r="B796" s="158"/>
      <c r="C796" s="158"/>
      <c r="D796" s="158"/>
      <c r="E796" s="158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</row>
    <row r="797">
      <c r="A797" s="158"/>
      <c r="B797" s="158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</row>
    <row r="798">
      <c r="A798" s="158"/>
      <c r="B798" s="158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</row>
    <row r="799">
      <c r="A799" s="158"/>
      <c r="B799" s="158"/>
      <c r="C799" s="158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</row>
    <row r="800">
      <c r="A800" s="158"/>
      <c r="B800" s="158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</row>
    <row r="801">
      <c r="A801" s="158"/>
      <c r="B801" s="158"/>
      <c r="C801" s="158"/>
      <c r="D801" s="158"/>
      <c r="E801" s="158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</row>
    <row r="802">
      <c r="A802" s="158"/>
      <c r="B802" s="158"/>
      <c r="C802" s="158"/>
      <c r="D802" s="158"/>
      <c r="E802" s="158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</row>
    <row r="803">
      <c r="A803" s="158"/>
      <c r="B803" s="158"/>
      <c r="C803" s="158"/>
      <c r="D803" s="158"/>
      <c r="E803" s="158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</row>
    <row r="804">
      <c r="A804" s="158"/>
      <c r="B804" s="158"/>
      <c r="C804" s="158"/>
      <c r="D804" s="158"/>
      <c r="E804" s="158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</row>
    <row r="805">
      <c r="A805" s="158"/>
      <c r="B805" s="158"/>
      <c r="C805" s="158"/>
      <c r="D805" s="158"/>
      <c r="E805" s="158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</row>
    <row r="806">
      <c r="A806" s="158"/>
      <c r="B806" s="158"/>
      <c r="C806" s="158"/>
      <c r="D806" s="158"/>
      <c r="E806" s="158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</row>
    <row r="807">
      <c r="A807" s="158"/>
      <c r="B807" s="158"/>
      <c r="C807" s="158"/>
      <c r="D807" s="158"/>
      <c r="E807" s="158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</row>
    <row r="808">
      <c r="A808" s="158"/>
      <c r="B808" s="158"/>
      <c r="C808" s="158"/>
      <c r="D808" s="158"/>
      <c r="E808" s="158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</row>
    <row r="809">
      <c r="A809" s="158"/>
      <c r="B809" s="158"/>
      <c r="C809" s="158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</row>
    <row r="810">
      <c r="A810" s="158"/>
      <c r="B810" s="158"/>
      <c r="C810" s="158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</row>
    <row r="811">
      <c r="A811" s="158"/>
      <c r="B811" s="158"/>
      <c r="C811" s="158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</row>
    <row r="812">
      <c r="A812" s="158"/>
      <c r="B812" s="158"/>
      <c r="C812" s="158"/>
      <c r="D812" s="158"/>
      <c r="E812" s="158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</row>
    <row r="813">
      <c r="A813" s="158"/>
      <c r="B813" s="158"/>
      <c r="C813" s="158"/>
      <c r="D813" s="158"/>
      <c r="E813" s="158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</row>
    <row r="814">
      <c r="A814" s="158"/>
      <c r="B814" s="158"/>
      <c r="C814" s="158"/>
      <c r="D814" s="158"/>
      <c r="E814" s="158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</row>
    <row r="815">
      <c r="A815" s="158"/>
      <c r="B815" s="158"/>
      <c r="C815" s="158"/>
      <c r="D815" s="158"/>
      <c r="E815" s="158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</row>
    <row r="816">
      <c r="A816" s="158"/>
      <c r="B816" s="158"/>
      <c r="C816" s="158"/>
      <c r="D816" s="158"/>
      <c r="E816" s="158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</row>
    <row r="817">
      <c r="A817" s="158"/>
      <c r="B817" s="158"/>
      <c r="C817" s="158"/>
      <c r="D817" s="158"/>
      <c r="E817" s="158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</row>
    <row r="818">
      <c r="A818" s="158"/>
      <c r="B818" s="158"/>
      <c r="C818" s="158"/>
      <c r="D818" s="158"/>
      <c r="E818" s="158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</row>
    <row r="819">
      <c r="A819" s="158"/>
      <c r="B819" s="158"/>
      <c r="C819" s="158"/>
      <c r="D819" s="158"/>
      <c r="E819" s="158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</row>
    <row r="820">
      <c r="A820" s="158"/>
      <c r="B820" s="158"/>
      <c r="C820" s="158"/>
      <c r="D820" s="158"/>
      <c r="E820" s="158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</row>
    <row r="821">
      <c r="A821" s="158"/>
      <c r="B821" s="158"/>
      <c r="C821" s="158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</row>
    <row r="822">
      <c r="A822" s="158"/>
      <c r="B822" s="158"/>
      <c r="C822" s="158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</row>
    <row r="823">
      <c r="A823" s="158"/>
      <c r="B823" s="158"/>
      <c r="C823" s="158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</row>
    <row r="824">
      <c r="A824" s="158"/>
      <c r="B824" s="158"/>
      <c r="C824" s="158"/>
      <c r="D824" s="158"/>
      <c r="E824" s="158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</row>
    <row r="825">
      <c r="A825" s="158"/>
      <c r="B825" s="158"/>
      <c r="C825" s="158"/>
      <c r="D825" s="158"/>
      <c r="E825" s="158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</row>
    <row r="826">
      <c r="A826" s="158"/>
      <c r="B826" s="158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</row>
    <row r="827">
      <c r="A827" s="158"/>
      <c r="B827" s="158"/>
      <c r="C827" s="158"/>
      <c r="D827" s="158"/>
      <c r="E827" s="158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</row>
    <row r="828">
      <c r="A828" s="158"/>
      <c r="B828" s="158"/>
      <c r="C828" s="158"/>
      <c r="D828" s="158"/>
      <c r="E828" s="158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</row>
    <row r="829">
      <c r="A829" s="158"/>
      <c r="B829" s="158"/>
      <c r="C829" s="158"/>
      <c r="D829" s="158"/>
      <c r="E829" s="158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</row>
    <row r="830">
      <c r="A830" s="158"/>
      <c r="B830" s="158"/>
      <c r="C830" s="158"/>
      <c r="D830" s="158"/>
      <c r="E830" s="158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</row>
    <row r="831">
      <c r="A831" s="158"/>
      <c r="B831" s="158"/>
      <c r="C831" s="158"/>
      <c r="D831" s="158"/>
      <c r="E831" s="158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</row>
    <row r="832">
      <c r="A832" s="158"/>
      <c r="B832" s="158"/>
      <c r="C832" s="158"/>
      <c r="D832" s="158"/>
      <c r="E832" s="158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</row>
    <row r="833">
      <c r="A833" s="158"/>
      <c r="B833" s="158"/>
      <c r="C833" s="158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</row>
    <row r="834">
      <c r="A834" s="158"/>
      <c r="B834" s="158"/>
      <c r="C834" s="158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</row>
    <row r="835">
      <c r="A835" s="158"/>
      <c r="B835" s="158"/>
      <c r="C835" s="158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</row>
    <row r="836">
      <c r="A836" s="158"/>
      <c r="B836" s="158"/>
      <c r="C836" s="158"/>
      <c r="D836" s="158"/>
      <c r="E836" s="158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</row>
    <row r="837">
      <c r="A837" s="158"/>
      <c r="B837" s="158"/>
      <c r="C837" s="158"/>
      <c r="D837" s="158"/>
      <c r="E837" s="158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</row>
    <row r="838">
      <c r="A838" s="158"/>
      <c r="B838" s="158"/>
      <c r="C838" s="158"/>
      <c r="D838" s="158"/>
      <c r="E838" s="158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</row>
    <row r="839">
      <c r="A839" s="158"/>
      <c r="B839" s="158"/>
      <c r="C839" s="158"/>
      <c r="D839" s="158"/>
      <c r="E839" s="158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</row>
    <row r="840">
      <c r="A840" s="158"/>
      <c r="B840" s="158"/>
      <c r="C840" s="158"/>
      <c r="D840" s="158"/>
      <c r="E840" s="158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</row>
    <row r="841">
      <c r="A841" s="158"/>
      <c r="B841" s="158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</row>
    <row r="842">
      <c r="A842" s="158"/>
      <c r="B842" s="158"/>
      <c r="C842" s="158"/>
      <c r="D842" s="158"/>
      <c r="E842" s="158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</row>
    <row r="843">
      <c r="A843" s="158"/>
      <c r="B843" s="158"/>
      <c r="C843" s="158"/>
      <c r="D843" s="158"/>
      <c r="E843" s="158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</row>
    <row r="844">
      <c r="A844" s="158"/>
      <c r="B844" s="158"/>
      <c r="C844" s="158"/>
      <c r="D844" s="158"/>
      <c r="E844" s="158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</row>
    <row r="845">
      <c r="A845" s="158"/>
      <c r="B845" s="158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</row>
    <row r="846">
      <c r="A846" s="158"/>
      <c r="B846" s="158"/>
      <c r="C846" s="158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</row>
    <row r="847">
      <c r="A847" s="158"/>
      <c r="B847" s="158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</row>
    <row r="848">
      <c r="A848" s="158"/>
      <c r="B848" s="158"/>
      <c r="C848" s="158"/>
      <c r="D848" s="158"/>
      <c r="E848" s="158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</row>
    <row r="849">
      <c r="A849" s="158"/>
      <c r="B849" s="158"/>
      <c r="C849" s="158"/>
      <c r="D849" s="158"/>
      <c r="E849" s="158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</row>
    <row r="850">
      <c r="A850" s="158"/>
      <c r="B850" s="158"/>
      <c r="C850" s="158"/>
      <c r="D850" s="158"/>
      <c r="E850" s="158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</row>
    <row r="851">
      <c r="A851" s="158"/>
      <c r="B851" s="158"/>
      <c r="C851" s="158"/>
      <c r="D851" s="158"/>
      <c r="E851" s="158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</row>
    <row r="852">
      <c r="A852" s="158"/>
      <c r="B852" s="158"/>
      <c r="C852" s="158"/>
      <c r="D852" s="158"/>
      <c r="E852" s="158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</row>
    <row r="853">
      <c r="A853" s="158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</row>
    <row r="854">
      <c r="A854" s="158"/>
      <c r="B854" s="158"/>
      <c r="C854" s="158"/>
      <c r="D854" s="158"/>
      <c r="E854" s="158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</row>
    <row r="855">
      <c r="A855" s="158"/>
      <c r="B855" s="158"/>
      <c r="C855" s="158"/>
      <c r="D855" s="158"/>
      <c r="E855" s="158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</row>
    <row r="856">
      <c r="A856" s="158"/>
      <c r="B856" s="158"/>
      <c r="C856" s="158"/>
      <c r="D856" s="158"/>
      <c r="E856" s="158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</row>
    <row r="857">
      <c r="A857" s="158"/>
      <c r="B857" s="158"/>
      <c r="C857" s="158"/>
      <c r="D857" s="158"/>
      <c r="E857" s="158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</row>
    <row r="858">
      <c r="A858" s="158"/>
      <c r="B858" s="158"/>
      <c r="C858" s="158"/>
      <c r="D858" s="158"/>
      <c r="E858" s="158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</row>
    <row r="859">
      <c r="A859" s="158"/>
      <c r="B859" s="158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</row>
    <row r="860">
      <c r="A860" s="158"/>
      <c r="B860" s="158"/>
      <c r="C860" s="158"/>
      <c r="D860" s="158"/>
      <c r="E860" s="158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</row>
    <row r="861">
      <c r="A861" s="158"/>
      <c r="B861" s="158"/>
      <c r="C861" s="158"/>
      <c r="D861" s="158"/>
      <c r="E861" s="158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</row>
    <row r="862">
      <c r="A862" s="158"/>
      <c r="B862" s="158"/>
      <c r="C862" s="158"/>
      <c r="D862" s="158"/>
      <c r="E862" s="158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</row>
    <row r="863">
      <c r="A863" s="158"/>
      <c r="B863" s="158"/>
      <c r="C863" s="158"/>
      <c r="D863" s="158"/>
      <c r="E863" s="158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</row>
    <row r="864">
      <c r="A864" s="158"/>
      <c r="B864" s="158"/>
      <c r="C864" s="158"/>
      <c r="D864" s="158"/>
      <c r="E864" s="158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</row>
    <row r="865">
      <c r="A865" s="158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</row>
    <row r="866">
      <c r="A866" s="158"/>
      <c r="B866" s="158"/>
      <c r="C866" s="158"/>
      <c r="D866" s="158"/>
      <c r="E866" s="158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</row>
    <row r="867">
      <c r="A867" s="158"/>
      <c r="B867" s="158"/>
      <c r="C867" s="158"/>
      <c r="D867" s="158"/>
      <c r="E867" s="158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</row>
    <row r="868">
      <c r="A868" s="158"/>
      <c r="B868" s="158"/>
      <c r="C868" s="158"/>
      <c r="D868" s="158"/>
      <c r="E868" s="158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</row>
    <row r="869">
      <c r="A869" s="158"/>
      <c r="B869" s="158"/>
      <c r="C869" s="158"/>
      <c r="D869" s="158"/>
      <c r="E869" s="158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</row>
    <row r="870">
      <c r="A870" s="158"/>
      <c r="B870" s="158"/>
      <c r="C870" s="158"/>
      <c r="D870" s="158"/>
      <c r="E870" s="158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</row>
    <row r="871">
      <c r="A871" s="158"/>
      <c r="B871" s="158"/>
      <c r="C871" s="158"/>
      <c r="D871" s="158"/>
      <c r="E871" s="158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</row>
    <row r="872">
      <c r="A872" s="158"/>
      <c r="B872" s="158"/>
      <c r="C872" s="158"/>
      <c r="D872" s="158"/>
      <c r="E872" s="158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</row>
    <row r="873">
      <c r="A873" s="158"/>
      <c r="B873" s="158"/>
      <c r="C873" s="158"/>
      <c r="D873" s="158"/>
      <c r="E873" s="158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</row>
    <row r="874">
      <c r="A874" s="158"/>
      <c r="B874" s="158"/>
      <c r="C874" s="158"/>
      <c r="D874" s="158"/>
      <c r="E874" s="158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</row>
    <row r="875">
      <c r="A875" s="158"/>
      <c r="B875" s="158"/>
      <c r="C875" s="158"/>
      <c r="D875" s="158"/>
      <c r="E875" s="158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</row>
    <row r="876">
      <c r="A876" s="158"/>
      <c r="B876" s="158"/>
      <c r="C876" s="158"/>
      <c r="D876" s="158"/>
      <c r="E876" s="158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</row>
    <row r="877">
      <c r="A877" s="158"/>
      <c r="B877" s="158"/>
      <c r="C877" s="158"/>
      <c r="D877" s="158"/>
      <c r="E877" s="158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</row>
    <row r="878">
      <c r="A878" s="158"/>
      <c r="B878" s="158"/>
      <c r="C878" s="158"/>
      <c r="D878" s="158"/>
      <c r="E878" s="158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</row>
    <row r="879">
      <c r="A879" s="158"/>
      <c r="B879" s="158"/>
      <c r="C879" s="158"/>
      <c r="D879" s="158"/>
      <c r="E879" s="158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</row>
    <row r="880">
      <c r="A880" s="158"/>
      <c r="B880" s="158"/>
      <c r="C880" s="158"/>
      <c r="D880" s="158"/>
      <c r="E880" s="158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</row>
    <row r="881">
      <c r="A881" s="158"/>
      <c r="B881" s="158"/>
      <c r="C881" s="158"/>
      <c r="D881" s="158"/>
      <c r="E881" s="158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</row>
    <row r="882">
      <c r="A882" s="158"/>
      <c r="B882" s="158"/>
      <c r="C882" s="158"/>
      <c r="D882" s="158"/>
      <c r="E882" s="158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</row>
    <row r="883">
      <c r="A883" s="158"/>
      <c r="B883" s="158"/>
      <c r="C883" s="158"/>
      <c r="D883" s="158"/>
      <c r="E883" s="158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</row>
    <row r="884">
      <c r="A884" s="158"/>
      <c r="B884" s="158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</row>
    <row r="885">
      <c r="A885" s="158"/>
      <c r="B885" s="158"/>
      <c r="C885" s="158"/>
      <c r="D885" s="158"/>
      <c r="E885" s="158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</row>
    <row r="886">
      <c r="A886" s="158"/>
      <c r="B886" s="158"/>
      <c r="C886" s="158"/>
      <c r="D886" s="158"/>
      <c r="E886" s="158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</row>
    <row r="887">
      <c r="A887" s="158"/>
      <c r="B887" s="158"/>
      <c r="C887" s="158"/>
      <c r="D887" s="158"/>
      <c r="E887" s="158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</row>
    <row r="888">
      <c r="A888" s="158"/>
      <c r="B888" s="158"/>
      <c r="C888" s="158"/>
      <c r="D888" s="158"/>
      <c r="E888" s="158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</row>
    <row r="889">
      <c r="A889" s="158"/>
      <c r="B889" s="158"/>
      <c r="C889" s="158"/>
      <c r="D889" s="158"/>
      <c r="E889" s="158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</row>
    <row r="890">
      <c r="A890" s="158"/>
      <c r="B890" s="158"/>
      <c r="C890" s="158"/>
      <c r="D890" s="158"/>
      <c r="E890" s="158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</row>
    <row r="891">
      <c r="A891" s="158"/>
      <c r="B891" s="158"/>
      <c r="C891" s="158"/>
      <c r="D891" s="158"/>
      <c r="E891" s="158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</row>
    <row r="892">
      <c r="A892" s="158"/>
      <c r="B892" s="158"/>
      <c r="C892" s="158"/>
      <c r="D892" s="158"/>
      <c r="E892" s="158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</row>
    <row r="893">
      <c r="A893" s="158"/>
      <c r="B893" s="158"/>
      <c r="C893" s="158"/>
      <c r="D893" s="158"/>
      <c r="E893" s="158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</row>
    <row r="894">
      <c r="A894" s="158"/>
      <c r="B894" s="158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</row>
    <row r="895">
      <c r="A895" s="158"/>
      <c r="B895" s="158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</row>
    <row r="896">
      <c r="A896" s="158"/>
      <c r="B896" s="158"/>
      <c r="C896" s="158"/>
      <c r="D896" s="158"/>
      <c r="E896" s="158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</row>
    <row r="897">
      <c r="A897" s="158"/>
      <c r="B897" s="158"/>
      <c r="C897" s="158"/>
      <c r="D897" s="158"/>
      <c r="E897" s="158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</row>
    <row r="898">
      <c r="A898" s="158"/>
      <c r="B898" s="158"/>
      <c r="C898" s="158"/>
      <c r="D898" s="158"/>
      <c r="E898" s="158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</row>
    <row r="899">
      <c r="A899" s="158"/>
      <c r="B899" s="158"/>
      <c r="C899" s="158"/>
      <c r="D899" s="158"/>
      <c r="E899" s="158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</row>
    <row r="900">
      <c r="A900" s="158"/>
      <c r="B900" s="158"/>
      <c r="C900" s="158"/>
      <c r="D900" s="158"/>
      <c r="E900" s="158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</row>
    <row r="901">
      <c r="A901" s="158"/>
      <c r="B901" s="158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</row>
    <row r="902">
      <c r="A902" s="158"/>
      <c r="B902" s="158"/>
      <c r="C902" s="158"/>
      <c r="D902" s="158"/>
      <c r="E902" s="158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</row>
    <row r="903">
      <c r="A903" s="158"/>
      <c r="B903" s="158"/>
      <c r="C903" s="158"/>
      <c r="D903" s="158"/>
      <c r="E903" s="158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</row>
    <row r="904">
      <c r="A904" s="158"/>
      <c r="B904" s="158"/>
      <c r="C904" s="158"/>
      <c r="D904" s="158"/>
      <c r="E904" s="158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</row>
    <row r="905">
      <c r="A905" s="158"/>
      <c r="B905" s="158"/>
      <c r="C905" s="158"/>
      <c r="D905" s="158"/>
      <c r="E905" s="158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</row>
    <row r="906">
      <c r="A906" s="158"/>
      <c r="B906" s="158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</row>
    <row r="907">
      <c r="A907" s="158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</row>
    <row r="908">
      <c r="A908" s="158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</row>
    <row r="909">
      <c r="A909" s="158"/>
      <c r="B909" s="158"/>
      <c r="C909" s="158"/>
      <c r="D909" s="158"/>
      <c r="E909" s="158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</row>
    <row r="910">
      <c r="A910" s="158"/>
      <c r="B910" s="158"/>
      <c r="C910" s="158"/>
      <c r="D910" s="158"/>
      <c r="E910" s="158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</row>
    <row r="911">
      <c r="A911" s="158"/>
      <c r="B911" s="158"/>
      <c r="C911" s="158"/>
      <c r="D911" s="158"/>
      <c r="E911" s="158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</row>
    <row r="912">
      <c r="A912" s="158"/>
      <c r="B912" s="158"/>
      <c r="C912" s="158"/>
      <c r="D912" s="158"/>
      <c r="E912" s="158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</row>
    <row r="913">
      <c r="A913" s="158"/>
      <c r="B913" s="158"/>
      <c r="C913" s="158"/>
      <c r="D913" s="158"/>
      <c r="E913" s="158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</row>
    <row r="914">
      <c r="A914" s="158"/>
      <c r="B914" s="158"/>
      <c r="C914" s="158"/>
      <c r="D914" s="158"/>
      <c r="E914" s="158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</row>
    <row r="915">
      <c r="A915" s="158"/>
      <c r="B915" s="158"/>
      <c r="C915" s="158"/>
      <c r="D915" s="158"/>
      <c r="E915" s="158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</row>
    <row r="916">
      <c r="A916" s="158"/>
      <c r="B916" s="158"/>
      <c r="C916" s="158"/>
      <c r="D916" s="158"/>
      <c r="E916" s="158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</row>
    <row r="917">
      <c r="A917" s="158"/>
      <c r="B917" s="158"/>
      <c r="C917" s="158"/>
      <c r="D917" s="158"/>
      <c r="E917" s="158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</row>
    <row r="918">
      <c r="A918" s="158"/>
      <c r="B918" s="158"/>
      <c r="C918" s="158"/>
      <c r="D918" s="158"/>
      <c r="E918" s="158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</row>
    <row r="919">
      <c r="A919" s="158"/>
      <c r="B919" s="158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</row>
    <row r="920">
      <c r="A920" s="158"/>
      <c r="B920" s="158"/>
      <c r="C920" s="158"/>
      <c r="D920" s="158"/>
      <c r="E920" s="158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</row>
    <row r="921">
      <c r="A921" s="158"/>
      <c r="B921" s="158"/>
      <c r="C921" s="158"/>
      <c r="D921" s="158"/>
      <c r="E921" s="158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</row>
    <row r="922">
      <c r="A922" s="158"/>
      <c r="B922" s="158"/>
      <c r="C922" s="158"/>
      <c r="D922" s="158"/>
      <c r="E922" s="158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</row>
    <row r="923">
      <c r="A923" s="158"/>
      <c r="B923" s="158"/>
      <c r="C923" s="158"/>
      <c r="D923" s="158"/>
      <c r="E923" s="158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</row>
    <row r="924">
      <c r="A924" s="158"/>
      <c r="B924" s="158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</row>
    <row r="925">
      <c r="A925" s="158"/>
      <c r="B925" s="158"/>
      <c r="C925" s="158"/>
      <c r="D925" s="158"/>
      <c r="E925" s="158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</row>
    <row r="926">
      <c r="A926" s="158"/>
      <c r="B926" s="158"/>
      <c r="C926" s="158"/>
      <c r="D926" s="158"/>
      <c r="E926" s="158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</row>
    <row r="927">
      <c r="A927" s="158"/>
      <c r="B927" s="158"/>
      <c r="C927" s="158"/>
      <c r="D927" s="158"/>
      <c r="E927" s="158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</row>
    <row r="928">
      <c r="A928" s="158"/>
      <c r="B928" s="158"/>
      <c r="C928" s="158"/>
      <c r="D928" s="158"/>
      <c r="E928" s="158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</row>
    <row r="929">
      <c r="A929" s="158"/>
      <c r="B929" s="158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</row>
    <row r="930">
      <c r="A930" s="158"/>
      <c r="B930" s="158"/>
      <c r="C930" s="158"/>
      <c r="D930" s="158"/>
      <c r="E930" s="158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</row>
    <row r="931">
      <c r="A931" s="158"/>
      <c r="B931" s="158"/>
      <c r="C931" s="158"/>
      <c r="D931" s="158"/>
      <c r="E931" s="158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</row>
    <row r="932">
      <c r="A932" s="158"/>
      <c r="B932" s="158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</row>
    <row r="933">
      <c r="A933" s="158"/>
      <c r="B933" s="158"/>
      <c r="C933" s="158"/>
      <c r="D933" s="158"/>
      <c r="E933" s="158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</row>
    <row r="934">
      <c r="A934" s="158"/>
      <c r="B934" s="158"/>
      <c r="C934" s="158"/>
      <c r="D934" s="158"/>
      <c r="E934" s="158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</row>
    <row r="935">
      <c r="A935" s="158"/>
      <c r="B935" s="158"/>
      <c r="C935" s="158"/>
      <c r="D935" s="158"/>
      <c r="E935" s="158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</row>
    <row r="936">
      <c r="A936" s="158"/>
      <c r="B936" s="158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</row>
    <row r="937">
      <c r="A937" s="158"/>
      <c r="B937" s="158"/>
      <c r="C937" s="158"/>
      <c r="D937" s="158"/>
      <c r="E937" s="158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</row>
    <row r="938">
      <c r="A938" s="158"/>
      <c r="B938" s="158"/>
      <c r="C938" s="158"/>
      <c r="D938" s="158"/>
      <c r="E938" s="158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</row>
    <row r="939">
      <c r="A939" s="158"/>
      <c r="B939" s="158"/>
      <c r="C939" s="158"/>
      <c r="D939" s="158"/>
      <c r="E939" s="158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</row>
    <row r="940">
      <c r="A940" s="158"/>
      <c r="B940" s="158"/>
      <c r="C940" s="158"/>
      <c r="D940" s="158"/>
      <c r="E940" s="158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</row>
    <row r="941">
      <c r="A941" s="158"/>
      <c r="B941" s="158"/>
      <c r="C941" s="158"/>
      <c r="D941" s="158"/>
      <c r="E941" s="158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</row>
    <row r="942">
      <c r="A942" s="158"/>
      <c r="B942" s="158"/>
      <c r="C942" s="158"/>
      <c r="D942" s="158"/>
      <c r="E942" s="158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</row>
    <row r="943">
      <c r="A943" s="158"/>
      <c r="B943" s="158"/>
      <c r="C943" s="158"/>
      <c r="D943" s="158"/>
      <c r="E943" s="158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</row>
    <row r="944">
      <c r="A944" s="158"/>
      <c r="B944" s="158"/>
      <c r="C944" s="158"/>
      <c r="D944" s="158"/>
      <c r="E944" s="158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</row>
    <row r="945">
      <c r="A945" s="158"/>
      <c r="B945" s="158"/>
      <c r="C945" s="158"/>
      <c r="D945" s="158"/>
      <c r="E945" s="158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</row>
    <row r="946">
      <c r="A946" s="158"/>
      <c r="B946" s="158"/>
      <c r="C946" s="158"/>
      <c r="D946" s="158"/>
      <c r="E946" s="158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</row>
    <row r="947">
      <c r="A947" s="158"/>
      <c r="B947" s="158"/>
      <c r="C947" s="158"/>
      <c r="D947" s="158"/>
      <c r="E947" s="158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</row>
    <row r="948">
      <c r="A948" s="158"/>
      <c r="B948" s="158"/>
      <c r="C948" s="158"/>
      <c r="D948" s="158"/>
      <c r="E948" s="158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</row>
    <row r="949">
      <c r="A949" s="158"/>
      <c r="B949" s="158"/>
      <c r="C949" s="158"/>
      <c r="D949" s="158"/>
      <c r="E949" s="158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</row>
    <row r="950">
      <c r="A950" s="158"/>
      <c r="B950" s="158"/>
      <c r="C950" s="158"/>
      <c r="D950" s="158"/>
      <c r="E950" s="158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</row>
    <row r="951">
      <c r="A951" s="158"/>
      <c r="B951" s="158"/>
      <c r="C951" s="158"/>
      <c r="D951" s="158"/>
      <c r="E951" s="158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</row>
    <row r="952">
      <c r="A952" s="158"/>
      <c r="B952" s="158"/>
      <c r="C952" s="158"/>
      <c r="D952" s="158"/>
      <c r="E952" s="158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</row>
    <row r="953">
      <c r="A953" s="158"/>
      <c r="B953" s="158"/>
      <c r="C953" s="158"/>
      <c r="D953" s="158"/>
      <c r="E953" s="158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</row>
    <row r="954">
      <c r="A954" s="158"/>
      <c r="B954" s="158"/>
      <c r="C954" s="158"/>
      <c r="D954" s="158"/>
      <c r="E954" s="158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</row>
    <row r="955">
      <c r="A955" s="158"/>
      <c r="B955" s="158"/>
      <c r="C955" s="158"/>
      <c r="D955" s="158"/>
      <c r="E955" s="158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</row>
    <row r="956">
      <c r="A956" s="158"/>
      <c r="B956" s="158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</row>
    <row r="957">
      <c r="A957" s="158"/>
      <c r="B957" s="158"/>
      <c r="C957" s="158"/>
      <c r="D957" s="158"/>
      <c r="E957" s="158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</row>
    <row r="958">
      <c r="A958" s="158"/>
      <c r="B958" s="158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</row>
    <row r="959">
      <c r="A959" s="158"/>
      <c r="B959" s="158"/>
      <c r="C959" s="158"/>
      <c r="D959" s="158"/>
      <c r="E959" s="158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</row>
    <row r="960">
      <c r="A960" s="158"/>
      <c r="B960" s="158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</row>
    <row r="961">
      <c r="A961" s="158"/>
      <c r="B961" s="158"/>
      <c r="C961" s="158"/>
      <c r="D961" s="158"/>
      <c r="E961" s="158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</row>
    <row r="962">
      <c r="A962" s="158"/>
      <c r="B962" s="158"/>
      <c r="C962" s="158"/>
      <c r="D962" s="158"/>
      <c r="E962" s="158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</row>
    <row r="963">
      <c r="A963" s="158"/>
      <c r="B963" s="158"/>
      <c r="C963" s="158"/>
      <c r="D963" s="158"/>
      <c r="E963" s="158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</row>
    <row r="964">
      <c r="A964" s="158"/>
      <c r="B964" s="158"/>
      <c r="C964" s="158"/>
      <c r="D964" s="158"/>
      <c r="E964" s="158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</row>
    <row r="965">
      <c r="A965" s="158"/>
      <c r="B965" s="158"/>
      <c r="C965" s="158"/>
      <c r="D965" s="158"/>
      <c r="E965" s="158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</row>
    <row r="966">
      <c r="A966" s="158"/>
      <c r="B966" s="158"/>
      <c r="C966" s="158"/>
      <c r="D966" s="158"/>
      <c r="E966" s="158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</row>
    <row r="967">
      <c r="A967" s="158"/>
      <c r="B967" s="158"/>
      <c r="C967" s="158"/>
      <c r="D967" s="158"/>
      <c r="E967" s="158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</row>
    <row r="968">
      <c r="A968" s="158"/>
      <c r="B968" s="158"/>
      <c r="C968" s="158"/>
      <c r="D968" s="158"/>
      <c r="E968" s="158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</row>
    <row r="969">
      <c r="A969" s="158"/>
      <c r="B969" s="158"/>
      <c r="C969" s="158"/>
      <c r="D969" s="158"/>
      <c r="E969" s="158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</row>
    <row r="970">
      <c r="A970" s="158"/>
      <c r="B970" s="158"/>
      <c r="C970" s="158"/>
      <c r="D970" s="158"/>
      <c r="E970" s="158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</row>
    <row r="971">
      <c r="A971" s="158"/>
      <c r="B971" s="158"/>
      <c r="C971" s="158"/>
      <c r="D971" s="158"/>
      <c r="E971" s="158"/>
      <c r="F971" s="158"/>
      <c r="G971" s="158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</row>
    <row r="972">
      <c r="A972" s="158"/>
      <c r="B972" s="158"/>
      <c r="C972" s="158"/>
      <c r="D972" s="158"/>
      <c r="E972" s="158"/>
      <c r="F972" s="158"/>
      <c r="G972" s="158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</row>
    <row r="973">
      <c r="A973" s="158"/>
      <c r="B973" s="158"/>
      <c r="C973" s="158"/>
      <c r="D973" s="158"/>
      <c r="E973" s="158"/>
      <c r="F973" s="158"/>
      <c r="G973" s="158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</row>
    <row r="974">
      <c r="A974" s="158"/>
      <c r="B974" s="158"/>
      <c r="C974" s="158"/>
      <c r="D974" s="158"/>
      <c r="E974" s="158"/>
      <c r="F974" s="158"/>
      <c r="G974" s="158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</row>
    <row r="975">
      <c r="A975" s="158"/>
      <c r="B975" s="158"/>
      <c r="C975" s="158"/>
      <c r="D975" s="158"/>
      <c r="E975" s="158"/>
      <c r="F975" s="158"/>
      <c r="G975" s="158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</row>
    <row r="976">
      <c r="A976" s="158"/>
      <c r="B976" s="158"/>
      <c r="C976" s="158"/>
      <c r="D976" s="158"/>
      <c r="E976" s="158"/>
      <c r="F976" s="158"/>
      <c r="G976" s="158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</row>
    <row r="977">
      <c r="A977" s="158"/>
      <c r="B977" s="158"/>
      <c r="C977" s="158"/>
      <c r="D977" s="158"/>
      <c r="E977" s="158"/>
      <c r="F977" s="158"/>
      <c r="G977" s="158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</row>
    <row r="978">
      <c r="A978" s="158"/>
      <c r="B978" s="158"/>
      <c r="C978" s="158"/>
      <c r="D978" s="158"/>
      <c r="E978" s="158"/>
      <c r="F978" s="158"/>
      <c r="G978" s="158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</row>
    <row r="979">
      <c r="A979" s="158"/>
      <c r="B979" s="158"/>
      <c r="C979" s="158"/>
      <c r="D979" s="158"/>
      <c r="E979" s="158"/>
      <c r="F979" s="158"/>
      <c r="G979" s="158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</row>
    <row r="980">
      <c r="A980" s="158"/>
      <c r="B980" s="158"/>
      <c r="C980" s="158"/>
      <c r="D980" s="158"/>
      <c r="E980" s="158"/>
      <c r="F980" s="158"/>
      <c r="G980" s="158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</row>
    <row r="981">
      <c r="A981" s="158"/>
      <c r="B981" s="158"/>
      <c r="C981" s="158"/>
      <c r="D981" s="158"/>
      <c r="E981" s="158"/>
      <c r="F981" s="158"/>
      <c r="G981" s="158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</row>
    <row r="982">
      <c r="A982" s="158"/>
      <c r="B982" s="158"/>
      <c r="C982" s="158"/>
      <c r="D982" s="158"/>
      <c r="E982" s="158"/>
      <c r="F982" s="158"/>
      <c r="G982" s="158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</row>
    <row r="983">
      <c r="A983" s="158"/>
      <c r="B983" s="158"/>
      <c r="C983" s="158"/>
      <c r="D983" s="158"/>
      <c r="E983" s="158"/>
      <c r="F983" s="158"/>
      <c r="G983" s="158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</row>
    <row r="984">
      <c r="A984" s="158"/>
      <c r="B984" s="158"/>
      <c r="C984" s="158"/>
      <c r="D984" s="158"/>
      <c r="E984" s="158"/>
      <c r="F984" s="158"/>
      <c r="G984" s="158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</row>
    <row r="985">
      <c r="A985" s="158"/>
      <c r="B985" s="158"/>
      <c r="C985" s="158"/>
      <c r="D985" s="158"/>
      <c r="E985" s="158"/>
      <c r="F985" s="158"/>
      <c r="G985" s="158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</row>
    <row r="986">
      <c r="A986" s="158"/>
      <c r="B986" s="158"/>
      <c r="C986" s="158"/>
      <c r="D986" s="158"/>
      <c r="E986" s="158"/>
      <c r="F986" s="158"/>
      <c r="G986" s="158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</row>
    <row r="987">
      <c r="A987" s="158"/>
      <c r="B987" s="158"/>
      <c r="C987" s="158"/>
      <c r="D987" s="158"/>
      <c r="E987" s="158"/>
      <c r="F987" s="158"/>
      <c r="G987" s="158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</row>
    <row r="988">
      <c r="A988" s="158"/>
      <c r="B988" s="158"/>
      <c r="C988" s="158"/>
      <c r="D988" s="158"/>
      <c r="E988" s="158"/>
      <c r="F988" s="158"/>
      <c r="G988" s="158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</row>
    <row r="989">
      <c r="A989" s="158"/>
      <c r="B989" s="158"/>
      <c r="C989" s="158"/>
      <c r="D989" s="158"/>
      <c r="E989" s="158"/>
      <c r="F989" s="158"/>
      <c r="G989" s="158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</row>
    <row r="990">
      <c r="A990" s="158"/>
      <c r="B990" s="158"/>
      <c r="C990" s="158"/>
      <c r="D990" s="158"/>
      <c r="E990" s="158"/>
      <c r="F990" s="158"/>
      <c r="G990" s="158"/>
      <c r="H990" s="158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</row>
    <row r="991">
      <c r="A991" s="158"/>
      <c r="B991" s="158"/>
      <c r="C991" s="158"/>
      <c r="D991" s="158"/>
      <c r="E991" s="158"/>
      <c r="F991" s="158"/>
      <c r="G991" s="158"/>
      <c r="H991" s="158"/>
      <c r="I991" s="158"/>
      <c r="J991" s="158"/>
      <c r="K991" s="158"/>
      <c r="L991" s="158"/>
      <c r="M991" s="158"/>
      <c r="N991" s="158"/>
      <c r="O991" s="158"/>
      <c r="P991" s="158"/>
      <c r="Q991" s="158"/>
      <c r="R991" s="158"/>
    </row>
    <row r="992">
      <c r="A992" s="158"/>
      <c r="B992" s="158"/>
      <c r="C992" s="158"/>
      <c r="D992" s="158"/>
      <c r="E992" s="158"/>
      <c r="F992" s="158"/>
      <c r="G992" s="158"/>
      <c r="H992" s="158"/>
      <c r="I992" s="158"/>
      <c r="J992" s="158"/>
      <c r="K992" s="158"/>
      <c r="L992" s="158"/>
      <c r="M992" s="158"/>
      <c r="N992" s="158"/>
      <c r="O992" s="158"/>
      <c r="P992" s="158"/>
      <c r="Q992" s="158"/>
      <c r="R992" s="158"/>
    </row>
    <row r="993">
      <c r="A993" s="158"/>
      <c r="B993" s="158"/>
      <c r="C993" s="158"/>
      <c r="D993" s="158"/>
      <c r="E993" s="158"/>
      <c r="F993" s="158"/>
      <c r="G993" s="158"/>
      <c r="H993" s="158"/>
      <c r="I993" s="158"/>
      <c r="J993" s="158"/>
      <c r="K993" s="158"/>
      <c r="L993" s="158"/>
      <c r="M993" s="158"/>
      <c r="N993" s="158"/>
      <c r="O993" s="158"/>
      <c r="P993" s="158"/>
      <c r="Q993" s="158"/>
      <c r="R993" s="158"/>
    </row>
    <row r="994">
      <c r="A994" s="158"/>
      <c r="B994" s="158"/>
      <c r="C994" s="158"/>
      <c r="D994" s="158"/>
      <c r="E994" s="158"/>
      <c r="F994" s="158"/>
      <c r="G994" s="158"/>
      <c r="H994" s="158"/>
      <c r="I994" s="158"/>
      <c r="J994" s="158"/>
      <c r="K994" s="158"/>
      <c r="L994" s="158"/>
      <c r="M994" s="158"/>
      <c r="N994" s="158"/>
      <c r="O994" s="158"/>
      <c r="P994" s="158"/>
      <c r="Q994" s="158"/>
      <c r="R994" s="158"/>
    </row>
    <row r="995">
      <c r="A995" s="158"/>
      <c r="B995" s="158"/>
      <c r="C995" s="158"/>
      <c r="D995" s="158"/>
      <c r="E995" s="158"/>
      <c r="F995" s="158"/>
      <c r="G995" s="158"/>
      <c r="H995" s="158"/>
      <c r="I995" s="158"/>
      <c r="J995" s="158"/>
      <c r="K995" s="158"/>
      <c r="L995" s="158"/>
      <c r="M995" s="158"/>
      <c r="N995" s="158"/>
      <c r="O995" s="158"/>
      <c r="P995" s="158"/>
      <c r="Q995" s="158"/>
      <c r="R995" s="158"/>
    </row>
    <row r="996">
      <c r="A996" s="158"/>
      <c r="B996" s="158"/>
      <c r="C996" s="158"/>
      <c r="D996" s="158"/>
      <c r="E996" s="158"/>
      <c r="F996" s="158"/>
      <c r="G996" s="158"/>
      <c r="H996" s="158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</row>
    <row r="997">
      <c r="A997" s="158"/>
      <c r="B997" s="158"/>
      <c r="C997" s="158"/>
      <c r="D997" s="158"/>
      <c r="E997" s="158"/>
      <c r="F997" s="158"/>
      <c r="G997" s="158"/>
      <c r="H997" s="158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</row>
    <row r="998">
      <c r="A998" s="158"/>
      <c r="B998" s="158"/>
      <c r="C998" s="158"/>
      <c r="D998" s="158"/>
      <c r="E998" s="158"/>
      <c r="F998" s="158"/>
      <c r="G998" s="158"/>
      <c r="H998" s="158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</row>
    <row r="999">
      <c r="A999" s="158"/>
      <c r="B999" s="158"/>
      <c r="C999" s="158"/>
      <c r="D999" s="158"/>
      <c r="E999" s="158"/>
      <c r="F999" s="158"/>
      <c r="G999" s="158"/>
      <c r="H999" s="158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</row>
    <row r="1000">
      <c r="A1000" s="158"/>
      <c r="B1000" s="158"/>
      <c r="C1000" s="158"/>
      <c r="D1000" s="158"/>
      <c r="E1000" s="158"/>
      <c r="F1000" s="158"/>
      <c r="G1000" s="158"/>
      <c r="H1000" s="158"/>
      <c r="I1000" s="158"/>
      <c r="J1000" s="158"/>
      <c r="K1000" s="158"/>
      <c r="L1000" s="158"/>
      <c r="M1000" s="158"/>
      <c r="N1000" s="158"/>
      <c r="O1000" s="158"/>
      <c r="P1000" s="158"/>
      <c r="Q1000" s="158"/>
      <c r="R1000" s="158"/>
    </row>
  </sheetData>
  <mergeCells count="50">
    <mergeCell ref="O5:R5"/>
    <mergeCell ref="Q6:R6"/>
    <mergeCell ref="P9:R9"/>
    <mergeCell ref="L30:N30"/>
    <mergeCell ref="L52:N52"/>
    <mergeCell ref="P58:R58"/>
    <mergeCell ref="D1:N2"/>
    <mergeCell ref="O2:R2"/>
    <mergeCell ref="D3:N3"/>
    <mergeCell ref="O3:R3"/>
    <mergeCell ref="D4:N4"/>
    <mergeCell ref="O4:R4"/>
    <mergeCell ref="A5:C5"/>
    <mergeCell ref="D5:L5"/>
    <mergeCell ref="M5:N5"/>
    <mergeCell ref="B7:C7"/>
    <mergeCell ref="H8:I8"/>
    <mergeCell ref="A9:A15"/>
    <mergeCell ref="H9:J9"/>
    <mergeCell ref="L9:N9"/>
    <mergeCell ref="A16:A24"/>
    <mergeCell ref="C16:C17"/>
    <mergeCell ref="C18:C19"/>
    <mergeCell ref="C20:C21"/>
    <mergeCell ref="C23:C24"/>
    <mergeCell ref="C26:C27"/>
    <mergeCell ref="H32:J32"/>
    <mergeCell ref="H50:J50"/>
    <mergeCell ref="A70:A71"/>
    <mergeCell ref="A72:A73"/>
    <mergeCell ref="P72:R72"/>
    <mergeCell ref="A54:A58"/>
    <mergeCell ref="A59:A63"/>
    <mergeCell ref="A64:A65"/>
    <mergeCell ref="A66:A67"/>
    <mergeCell ref="A68:A69"/>
    <mergeCell ref="H69:J69"/>
    <mergeCell ref="L69:N69"/>
    <mergeCell ref="A74:A78"/>
    <mergeCell ref="A79:A81"/>
    <mergeCell ref="A82:A83"/>
    <mergeCell ref="A85:R85"/>
    <mergeCell ref="A86:R86"/>
    <mergeCell ref="A25:A33"/>
    <mergeCell ref="A34:A41"/>
    <mergeCell ref="C36:C39"/>
    <mergeCell ref="A42:A44"/>
    <mergeCell ref="A45:A47"/>
    <mergeCell ref="A48:A50"/>
    <mergeCell ref="A51:A53"/>
  </mergeCells>
  <hyperlinks>
    <hyperlink r:id="rId1" ref="A86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11.63"/>
    <col customWidth="1" min="3" max="3" width="7.38"/>
    <col customWidth="1" min="4" max="4" width="6.75"/>
    <col customWidth="1" min="5" max="5" width="6.5"/>
    <col customWidth="1" min="6" max="6" width="9.0"/>
    <col customWidth="1" min="7" max="7" width="10.0"/>
    <col customWidth="1" min="8" max="8" width="8.63"/>
    <col customWidth="1" min="9" max="9" width="8.25"/>
    <col customWidth="1" min="10" max="10" width="7.5"/>
    <col customWidth="1" min="11" max="11" width="9.75"/>
    <col customWidth="1" min="12" max="12" width="9.38"/>
    <col customWidth="1" min="13" max="13" width="6.5"/>
    <col customWidth="1" min="14" max="14" width="7.63"/>
    <col customWidth="1" min="15" max="15" width="8.5"/>
    <col customWidth="1" min="17" max="17" width="8.63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5"/>
    </row>
    <row r="2" ht="45.0" customHeight="1">
      <c r="A2" s="6"/>
      <c r="B2" s="7"/>
      <c r="C2" s="7"/>
      <c r="N2" s="8" t="s">
        <v>1</v>
      </c>
      <c r="Q2" s="9"/>
    </row>
    <row r="3">
      <c r="A3" s="6"/>
      <c r="B3" s="7"/>
      <c r="C3" s="7"/>
      <c r="D3" s="10" t="s">
        <v>2</v>
      </c>
      <c r="N3" s="8" t="s">
        <v>3</v>
      </c>
      <c r="Q3" s="9"/>
    </row>
    <row r="4">
      <c r="A4" s="6"/>
      <c r="B4" s="7"/>
      <c r="C4" s="7"/>
      <c r="D4" s="11" t="s">
        <v>4</v>
      </c>
      <c r="N4" s="13" t="s">
        <v>6</v>
      </c>
      <c r="Q4" s="9"/>
    </row>
    <row r="5">
      <c r="A5" s="18" t="s">
        <v>7</v>
      </c>
      <c r="B5" s="15"/>
      <c r="C5" s="15"/>
      <c r="D5" s="20" t="s">
        <v>8</v>
      </c>
      <c r="E5" s="15"/>
      <c r="F5" s="15"/>
      <c r="G5" s="15"/>
      <c r="H5" s="15"/>
      <c r="I5" s="15"/>
      <c r="J5" s="15"/>
      <c r="K5" s="15"/>
      <c r="L5" s="17" t="s">
        <v>9</v>
      </c>
      <c r="M5" s="15"/>
      <c r="N5" s="19" t="s">
        <v>10</v>
      </c>
      <c r="O5" s="15"/>
      <c r="P5" s="15"/>
      <c r="Q5" s="21"/>
    </row>
    <row r="6">
      <c r="A6" s="7"/>
      <c r="B6" s="7"/>
      <c r="C6" s="7"/>
      <c r="D6" s="7"/>
      <c r="E6" s="7"/>
      <c r="F6" s="7"/>
      <c r="G6" s="23" t="s">
        <v>14</v>
      </c>
      <c r="J6" s="7"/>
      <c r="K6" s="7"/>
      <c r="L6" s="7"/>
      <c r="M6" s="7"/>
      <c r="N6" s="7"/>
      <c r="O6" s="7"/>
      <c r="P6" s="11" t="str">
        <f>IFERROR(__xludf.DUMMYFUNCTION("IMPORTRANGE(""https://docs.google.com/spreadsheets/d/1_JtdCAW9ExAzKcl-srFPpHdbhC_1_xp_RGAf187YmUk/edit?gid=1985709448#gid=1985709448"",""PRINT USD!S6"")"),"24.07.2026")</f>
        <v>24.07.2026</v>
      </c>
    </row>
    <row r="7">
      <c r="A7" s="7"/>
      <c r="B7" s="26"/>
      <c r="C7" s="26"/>
      <c r="D7" s="7"/>
      <c r="E7" s="28"/>
      <c r="F7" s="28"/>
      <c r="G7" s="29" t="s">
        <v>15</v>
      </c>
      <c r="J7" s="7"/>
      <c r="K7" s="7"/>
      <c r="L7" s="7"/>
      <c r="M7" s="7"/>
      <c r="N7" s="7"/>
      <c r="O7" s="7"/>
      <c r="P7" s="7"/>
      <c r="Q7" s="7"/>
    </row>
    <row r="8">
      <c r="A8" s="7"/>
      <c r="B8" s="26"/>
      <c r="C8" s="26"/>
      <c r="D8" s="26"/>
      <c r="E8" s="26"/>
      <c r="F8" s="26"/>
      <c r="G8" s="26"/>
      <c r="H8" s="26"/>
      <c r="I8" s="7"/>
      <c r="J8" s="7"/>
      <c r="K8" s="7"/>
      <c r="L8" s="7"/>
      <c r="M8" s="7"/>
      <c r="N8" s="7"/>
      <c r="O8" s="7"/>
      <c r="P8" s="7"/>
      <c r="Q8" s="7"/>
    </row>
    <row r="9">
      <c r="A9" s="32"/>
      <c r="B9" s="32"/>
      <c r="C9" s="28"/>
      <c r="D9" s="28"/>
      <c r="E9" s="34"/>
      <c r="F9" s="3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>
      <c r="A10" s="32"/>
      <c r="F10" s="35"/>
      <c r="G10" s="29" t="s">
        <v>16</v>
      </c>
      <c r="K10" s="26"/>
      <c r="L10" s="29" t="s">
        <v>17</v>
      </c>
      <c r="P10" s="26"/>
      <c r="Q10" s="26"/>
    </row>
    <row r="11">
      <c r="A11" s="32"/>
      <c r="B11" s="38"/>
      <c r="F11" s="35"/>
      <c r="G11" s="12" t="s">
        <v>18</v>
      </c>
      <c r="K11" s="26"/>
      <c r="L11" s="40" t="s">
        <v>19</v>
      </c>
      <c r="P11" s="26"/>
      <c r="Q11" s="26"/>
    </row>
    <row r="12">
      <c r="A12" s="32"/>
      <c r="B12" s="44" t="str">
        <f>IFERROR(__xludf.DUMMYFUNCTION("IMPORTRANGE(""https://docs.google.com/spreadsheets/d/1_JtdCAW9ExAzKcl-srFPpHdbhC_1_xp_RGAf187YmUk/edit?gid=925522009#gid=925522009"",""M.PRICE LIST!A86:D109"")"),"ROUNDS")</f>
        <v>ROUNDS</v>
      </c>
      <c r="C12" s="28"/>
      <c r="D12" s="28"/>
      <c r="E12" s="34"/>
      <c r="F12" s="35"/>
      <c r="G12" s="7"/>
      <c r="H12" s="7"/>
      <c r="I12" s="7"/>
      <c r="J12" s="48"/>
      <c r="K12" s="26"/>
      <c r="L12" s="7"/>
      <c r="M12" s="7"/>
      <c r="N12" s="7"/>
      <c r="O12" s="48"/>
      <c r="P12" s="26"/>
      <c r="Q12" s="26"/>
    </row>
    <row r="13">
      <c r="A13" s="32"/>
      <c r="B13" s="26" t="str">
        <f>IFERROR(__xludf.DUMMYFUNCTION("""COMPUTED_VALUE"""),"1 ct")</f>
        <v>1 ct</v>
      </c>
      <c r="C13" s="28"/>
      <c r="D13" s="28"/>
      <c r="E13" s="34"/>
      <c r="F13" s="35"/>
      <c r="G13" s="26" t="str">
        <f>IFERROR(__xludf.DUMMYFUNCTION("IMPORTRANGE(""https://docs.google.com/spreadsheets/d/1_JtdCAW9ExAzKcl-srFPpHdbhC_1_xp_RGAf187YmUk/edit?gid=925522009#gid=925522009"",""M.PRICE LIST!A114:D136"")"),"1 ct")</f>
        <v>1 ct</v>
      </c>
      <c r="H13" s="7"/>
      <c r="I13" s="7"/>
      <c r="J13" s="48"/>
      <c r="K13" s="26"/>
      <c r="L13" s="26" t="str">
        <f>IFERROR(__xludf.DUMMYFUNCTION("IMPORTRANGE(""https://docs.google.com/spreadsheets/d/1_JtdCAW9ExAzKcl-srFPpHdbhC_1_xp_RGAf187YmUk/edit?gid=925522009#gid=925522009"",""M.PRICE LIST!A140:D162"")"),"1 ct")</f>
        <v>1 ct</v>
      </c>
      <c r="M13" s="7"/>
      <c r="N13" s="7"/>
      <c r="O13" s="48"/>
      <c r="P13" s="26"/>
      <c r="Q13" s="26"/>
    </row>
    <row r="14">
      <c r="A14" s="32"/>
      <c r="B14" s="56" t="str">
        <f>IFERROR(__xludf.DUMMYFUNCTION("""COMPUTED_VALUE"""),"Color")</f>
        <v>Color</v>
      </c>
      <c r="C14" s="56" t="str">
        <f>IFERROR(__xludf.DUMMYFUNCTION("""COMPUTED_VALUE"""),"VVS")</f>
        <v>VVS</v>
      </c>
      <c r="D14" s="56" t="str">
        <f>IFERROR(__xludf.DUMMYFUNCTION("""COMPUTED_VALUE"""),"VS")</f>
        <v>VS</v>
      </c>
      <c r="E14" s="57" t="str">
        <f>IFERROR(__xludf.DUMMYFUNCTION("""COMPUTED_VALUE"""),"SI")</f>
        <v>SI</v>
      </c>
      <c r="F14" s="35"/>
      <c r="G14" s="56" t="str">
        <f>IFERROR(__xludf.DUMMYFUNCTION("""COMPUTED_VALUE"""),"Color")</f>
        <v>Color</v>
      </c>
      <c r="H14" s="56" t="str">
        <f>IFERROR(__xludf.DUMMYFUNCTION("""COMPUTED_VALUE"""),"VVS")</f>
        <v>VVS</v>
      </c>
      <c r="I14" s="56" t="str">
        <f>IFERROR(__xludf.DUMMYFUNCTION("""COMPUTED_VALUE"""),"VS")</f>
        <v>VS</v>
      </c>
      <c r="J14" s="57" t="str">
        <f>IFERROR(__xludf.DUMMYFUNCTION("""COMPUTED_VALUE"""),"SI")</f>
        <v>SI</v>
      </c>
      <c r="K14" s="26"/>
      <c r="L14" s="56" t="str">
        <f>IFERROR(__xludf.DUMMYFUNCTION("""COMPUTED_VALUE"""),"Color")</f>
        <v>Color</v>
      </c>
      <c r="M14" s="56" t="str">
        <f>IFERROR(__xludf.DUMMYFUNCTION("""COMPUTED_VALUE"""),"VVS")</f>
        <v>VVS</v>
      </c>
      <c r="N14" s="56" t="str">
        <f>IFERROR(__xludf.DUMMYFUNCTION("""COMPUTED_VALUE"""),"VS")</f>
        <v>VS</v>
      </c>
      <c r="O14" s="56" t="str">
        <f>IFERROR(__xludf.DUMMYFUNCTION("""COMPUTED_VALUE"""),"SI")</f>
        <v>SI</v>
      </c>
      <c r="P14" s="26"/>
      <c r="Q14" s="26"/>
    </row>
    <row r="15">
      <c r="A15" s="32"/>
      <c r="B15" s="56" t="str">
        <f>IFERROR(__xludf.DUMMYFUNCTION("""COMPUTED_VALUE"""),"D")</f>
        <v>D</v>
      </c>
      <c r="C15" s="56">
        <f>IFERROR(__xludf.DUMMYFUNCTION("""COMPUTED_VALUE"""),102.0)</f>
        <v>102</v>
      </c>
      <c r="D15" s="56">
        <f>IFERROR(__xludf.DUMMYFUNCTION("""COMPUTED_VALUE"""),95.0)</f>
        <v>95</v>
      </c>
      <c r="E15" s="57">
        <f>IFERROR(__xludf.DUMMYFUNCTION("""COMPUTED_VALUE"""),79.0)</f>
        <v>79</v>
      </c>
      <c r="F15" s="35"/>
      <c r="G15" s="56" t="str">
        <f>IFERROR(__xludf.DUMMYFUNCTION("""COMPUTED_VALUE"""),"D")</f>
        <v>D</v>
      </c>
      <c r="H15" s="56">
        <f>IFERROR(__xludf.DUMMYFUNCTION("""COMPUTED_VALUE"""),105.0)</f>
        <v>105</v>
      </c>
      <c r="I15" s="56">
        <f>IFERROR(__xludf.DUMMYFUNCTION("""COMPUTED_VALUE"""),100.0)</f>
        <v>100</v>
      </c>
      <c r="J15" s="57">
        <f>IFERROR(__xludf.DUMMYFUNCTION("""COMPUTED_VALUE"""),91.0)</f>
        <v>91</v>
      </c>
      <c r="K15" s="26"/>
      <c r="L15" s="56" t="str">
        <f>IFERROR(__xludf.DUMMYFUNCTION("""COMPUTED_VALUE"""),"D")</f>
        <v>D</v>
      </c>
      <c r="M15" s="56">
        <f>IFERROR(__xludf.DUMMYFUNCTION("""COMPUTED_VALUE"""),110.0)</f>
        <v>110</v>
      </c>
      <c r="N15" s="56">
        <f>IFERROR(__xludf.DUMMYFUNCTION("""COMPUTED_VALUE"""),100.0)</f>
        <v>100</v>
      </c>
      <c r="O15" s="56">
        <f>IFERROR(__xludf.DUMMYFUNCTION("""COMPUTED_VALUE"""),90.0)</f>
        <v>90</v>
      </c>
      <c r="P15" s="26"/>
      <c r="Q15" s="26"/>
    </row>
    <row r="16">
      <c r="A16" s="32"/>
      <c r="B16" s="56" t="str">
        <f>IFERROR(__xludf.DUMMYFUNCTION("""COMPUTED_VALUE"""),"EF")</f>
        <v>EF</v>
      </c>
      <c r="C16" s="56">
        <f>IFERROR(__xludf.DUMMYFUNCTION("""COMPUTED_VALUE"""),99.0)</f>
        <v>99</v>
      </c>
      <c r="D16" s="56">
        <f>IFERROR(__xludf.DUMMYFUNCTION("""COMPUTED_VALUE"""),93.0)</f>
        <v>93</v>
      </c>
      <c r="E16" s="57">
        <f>IFERROR(__xludf.DUMMYFUNCTION("""COMPUTED_VALUE"""),77.0)</f>
        <v>77</v>
      </c>
      <c r="F16" s="35"/>
      <c r="G16" s="56" t="str">
        <f>IFERROR(__xludf.DUMMYFUNCTION("""COMPUTED_VALUE"""),"EF")</f>
        <v>EF</v>
      </c>
      <c r="H16" s="56">
        <f>IFERROR(__xludf.DUMMYFUNCTION("""COMPUTED_VALUE"""),100.0)</f>
        <v>100</v>
      </c>
      <c r="I16" s="56">
        <f>IFERROR(__xludf.DUMMYFUNCTION("""COMPUTED_VALUE"""),93.0)</f>
        <v>93</v>
      </c>
      <c r="J16" s="57">
        <f>IFERROR(__xludf.DUMMYFUNCTION("""COMPUTED_VALUE"""),88.0)</f>
        <v>88</v>
      </c>
      <c r="K16" s="26"/>
      <c r="L16" s="56" t="str">
        <f>IFERROR(__xludf.DUMMYFUNCTION("""COMPUTED_VALUE"""),"EF")</f>
        <v>EF</v>
      </c>
      <c r="M16" s="56">
        <f>IFERROR(__xludf.DUMMYFUNCTION("""COMPUTED_VALUE"""),95.0)</f>
        <v>95</v>
      </c>
      <c r="N16" s="56">
        <f>IFERROR(__xludf.DUMMYFUNCTION("""COMPUTED_VALUE"""),86.0)</f>
        <v>86</v>
      </c>
      <c r="O16" s="56">
        <f>IFERROR(__xludf.DUMMYFUNCTION("""COMPUTED_VALUE"""),75.0)</f>
        <v>75</v>
      </c>
      <c r="P16" s="26"/>
      <c r="Q16" s="26"/>
    </row>
    <row r="17">
      <c r="A17" s="32"/>
      <c r="B17" s="56" t="str">
        <f>IFERROR(__xludf.DUMMYFUNCTION("""COMPUTED_VALUE"""),"GH")</f>
        <v>GH</v>
      </c>
      <c r="C17" s="56">
        <f>IFERROR(__xludf.DUMMYFUNCTION("""COMPUTED_VALUE"""),95.0)</f>
        <v>95</v>
      </c>
      <c r="D17" s="56">
        <f>IFERROR(__xludf.DUMMYFUNCTION("""COMPUTED_VALUE"""),90.0)</f>
        <v>90</v>
      </c>
      <c r="E17" s="57">
        <f>IFERROR(__xludf.DUMMYFUNCTION("""COMPUTED_VALUE"""),76.0)</f>
        <v>76</v>
      </c>
      <c r="F17" s="35"/>
      <c r="G17" s="56" t="str">
        <f>IFERROR(__xludf.DUMMYFUNCTION("""COMPUTED_VALUE"""),"GH")</f>
        <v>GH</v>
      </c>
      <c r="H17" s="56">
        <f>IFERROR(__xludf.DUMMYFUNCTION("""COMPUTED_VALUE"""),97.0)</f>
        <v>97</v>
      </c>
      <c r="I17" s="56">
        <f>IFERROR(__xludf.DUMMYFUNCTION("""COMPUTED_VALUE"""),90.0)</f>
        <v>90</v>
      </c>
      <c r="J17" s="57">
        <f>IFERROR(__xludf.DUMMYFUNCTION("""COMPUTED_VALUE"""),80.0)</f>
        <v>80</v>
      </c>
      <c r="K17" s="26"/>
      <c r="L17" s="56" t="str">
        <f>IFERROR(__xludf.DUMMYFUNCTION("""COMPUTED_VALUE"""),"GH")</f>
        <v>GH</v>
      </c>
      <c r="M17" s="56">
        <f>IFERROR(__xludf.DUMMYFUNCTION("""COMPUTED_VALUE"""),89.0)</f>
        <v>89</v>
      </c>
      <c r="N17" s="56">
        <f>IFERROR(__xludf.DUMMYFUNCTION("""COMPUTED_VALUE"""),76.0)</f>
        <v>76</v>
      </c>
      <c r="O17" s="56">
        <f>IFERROR(__xludf.DUMMYFUNCTION("""COMPUTED_VALUE"""),70.0)</f>
        <v>70</v>
      </c>
      <c r="P17" s="26"/>
      <c r="Q17" s="26"/>
    </row>
    <row r="18">
      <c r="A18" s="32"/>
      <c r="B18" s="28"/>
      <c r="C18" s="28"/>
      <c r="D18" s="28"/>
      <c r="E18" s="28"/>
      <c r="F18" s="35"/>
      <c r="G18" s="7"/>
      <c r="H18" s="7"/>
      <c r="I18" s="7"/>
      <c r="J18" s="48"/>
      <c r="K18" s="26"/>
      <c r="L18" s="7"/>
      <c r="M18" s="7"/>
      <c r="N18" s="7"/>
      <c r="O18" s="7"/>
      <c r="P18" s="26"/>
      <c r="Q18" s="26"/>
    </row>
    <row r="19">
      <c r="A19" s="32"/>
      <c r="B19" s="26" t="str">
        <f>IFERROR(__xludf.DUMMYFUNCTION("""COMPUTED_VALUE"""),"1.50 ct")</f>
        <v>1.50 ct</v>
      </c>
      <c r="C19" s="28"/>
      <c r="D19" s="28"/>
      <c r="E19" s="28"/>
      <c r="F19" s="35"/>
      <c r="G19" s="26" t="str">
        <f>IFERROR(__xludf.DUMMYFUNCTION("""COMPUTED_VALUE"""),"1.50 ct")</f>
        <v>1.50 ct</v>
      </c>
      <c r="H19" s="7"/>
      <c r="I19" s="7"/>
      <c r="J19" s="48"/>
      <c r="K19" s="26"/>
      <c r="L19" s="26" t="str">
        <f>IFERROR(__xludf.DUMMYFUNCTION("""COMPUTED_VALUE"""),"1.50 ct")</f>
        <v>1.50 ct</v>
      </c>
      <c r="M19" s="7"/>
      <c r="N19" s="7"/>
      <c r="O19" s="7"/>
      <c r="P19" s="26"/>
      <c r="Q19" s="26"/>
    </row>
    <row r="20">
      <c r="A20" s="32"/>
      <c r="B20" s="56" t="str">
        <f>IFERROR(__xludf.DUMMYFUNCTION("""COMPUTED_VALUE"""),"Color")</f>
        <v>Color</v>
      </c>
      <c r="C20" s="56" t="str">
        <f>IFERROR(__xludf.DUMMYFUNCTION("""COMPUTED_VALUE"""),"VVS")</f>
        <v>VVS</v>
      </c>
      <c r="D20" s="56" t="str">
        <f>IFERROR(__xludf.DUMMYFUNCTION("""COMPUTED_VALUE"""),"VS")</f>
        <v>VS</v>
      </c>
      <c r="E20" s="56" t="str">
        <f>IFERROR(__xludf.DUMMYFUNCTION("""COMPUTED_VALUE"""),"SI")</f>
        <v>SI</v>
      </c>
      <c r="F20" s="35"/>
      <c r="G20" s="56" t="str">
        <f>IFERROR(__xludf.DUMMYFUNCTION("""COMPUTED_VALUE"""),"Color")</f>
        <v>Color</v>
      </c>
      <c r="H20" s="56" t="str">
        <f>IFERROR(__xludf.DUMMYFUNCTION("""COMPUTED_VALUE"""),"VVS")</f>
        <v>VVS</v>
      </c>
      <c r="I20" s="56" t="str">
        <f>IFERROR(__xludf.DUMMYFUNCTION("""COMPUTED_VALUE"""),"VS")</f>
        <v>VS</v>
      </c>
      <c r="J20" s="57" t="str">
        <f>IFERROR(__xludf.DUMMYFUNCTION("""COMPUTED_VALUE"""),"SI")</f>
        <v>SI</v>
      </c>
      <c r="K20" s="26"/>
      <c r="L20" s="56" t="str">
        <f>IFERROR(__xludf.DUMMYFUNCTION("""COMPUTED_VALUE"""),"Color")</f>
        <v>Color</v>
      </c>
      <c r="M20" s="56" t="str">
        <f>IFERROR(__xludf.DUMMYFUNCTION("""COMPUTED_VALUE"""),"VVS")</f>
        <v>VVS</v>
      </c>
      <c r="N20" s="56" t="str">
        <f>IFERROR(__xludf.DUMMYFUNCTION("""COMPUTED_VALUE"""),"VS")</f>
        <v>VS</v>
      </c>
      <c r="O20" s="56" t="str">
        <f>IFERROR(__xludf.DUMMYFUNCTION("""COMPUTED_VALUE"""),"SI")</f>
        <v>SI</v>
      </c>
      <c r="P20" s="26"/>
      <c r="Q20" s="26"/>
    </row>
    <row r="21">
      <c r="A21" s="32"/>
      <c r="B21" s="56" t="str">
        <f>IFERROR(__xludf.DUMMYFUNCTION("""COMPUTED_VALUE"""),"D")</f>
        <v>D</v>
      </c>
      <c r="C21" s="56">
        <f>IFERROR(__xludf.DUMMYFUNCTION("""COMPUTED_VALUE"""),123.0)</f>
        <v>123</v>
      </c>
      <c r="D21" s="56">
        <f>IFERROR(__xludf.DUMMYFUNCTION("""COMPUTED_VALUE"""),111.0)</f>
        <v>111</v>
      </c>
      <c r="E21" s="56">
        <f>IFERROR(__xludf.DUMMYFUNCTION("""COMPUTED_VALUE"""),96.0)</f>
        <v>96</v>
      </c>
      <c r="F21" s="35"/>
      <c r="G21" s="56" t="str">
        <f>IFERROR(__xludf.DUMMYFUNCTION("""COMPUTED_VALUE"""),"D")</f>
        <v>D</v>
      </c>
      <c r="H21" s="56">
        <f>IFERROR(__xludf.DUMMYFUNCTION("""COMPUTED_VALUE"""),110.0)</f>
        <v>110</v>
      </c>
      <c r="I21" s="56">
        <f>IFERROR(__xludf.DUMMYFUNCTION("""COMPUTED_VALUE"""),105.0)</f>
        <v>105</v>
      </c>
      <c r="J21" s="57">
        <f>IFERROR(__xludf.DUMMYFUNCTION("""COMPUTED_VALUE"""),94.0)</f>
        <v>94</v>
      </c>
      <c r="K21" s="80"/>
      <c r="L21" s="56" t="str">
        <f>IFERROR(__xludf.DUMMYFUNCTION("""COMPUTED_VALUE"""),"D")</f>
        <v>D</v>
      </c>
      <c r="M21" s="56">
        <f>IFERROR(__xludf.DUMMYFUNCTION("""COMPUTED_VALUE"""),115.0)</f>
        <v>115</v>
      </c>
      <c r="N21" s="56">
        <f>IFERROR(__xludf.DUMMYFUNCTION("""COMPUTED_VALUE"""),105.0)</f>
        <v>105</v>
      </c>
      <c r="O21" s="56">
        <f>IFERROR(__xludf.DUMMYFUNCTION("""COMPUTED_VALUE"""),91.0)</f>
        <v>91</v>
      </c>
      <c r="P21" s="28"/>
      <c r="Q21" s="34"/>
    </row>
    <row r="22">
      <c r="A22" s="32"/>
      <c r="B22" s="56" t="str">
        <f>IFERROR(__xludf.DUMMYFUNCTION("""COMPUTED_VALUE"""),"EF")</f>
        <v>EF</v>
      </c>
      <c r="C22" s="56">
        <f>IFERROR(__xludf.DUMMYFUNCTION("""COMPUTED_VALUE"""),115.0)</f>
        <v>115</v>
      </c>
      <c r="D22" s="56">
        <f>IFERROR(__xludf.DUMMYFUNCTION("""COMPUTED_VALUE"""),105.0)</f>
        <v>105</v>
      </c>
      <c r="E22" s="56">
        <f>IFERROR(__xludf.DUMMYFUNCTION("""COMPUTED_VALUE"""),88.0)</f>
        <v>88</v>
      </c>
      <c r="F22" s="35"/>
      <c r="G22" s="56" t="str">
        <f>IFERROR(__xludf.DUMMYFUNCTION("""COMPUTED_VALUE"""),"EF")</f>
        <v>EF</v>
      </c>
      <c r="H22" s="57">
        <f>IFERROR(__xludf.DUMMYFUNCTION("""COMPUTED_VALUE"""),108.0)</f>
        <v>108</v>
      </c>
      <c r="I22" s="56">
        <f>IFERROR(__xludf.DUMMYFUNCTION("""COMPUTED_VALUE"""),95.0)</f>
        <v>95</v>
      </c>
      <c r="J22" s="57">
        <f>IFERROR(__xludf.DUMMYFUNCTION("""COMPUTED_VALUE"""),90.0)</f>
        <v>90</v>
      </c>
      <c r="K22" s="80"/>
      <c r="L22" s="56" t="str">
        <f>IFERROR(__xludf.DUMMYFUNCTION("""COMPUTED_VALUE"""),"EF")</f>
        <v>EF</v>
      </c>
      <c r="M22" s="56">
        <f>IFERROR(__xludf.DUMMYFUNCTION("""COMPUTED_VALUE"""),99.0)</f>
        <v>99</v>
      </c>
      <c r="N22" s="56">
        <f>IFERROR(__xludf.DUMMYFUNCTION("""COMPUTED_VALUE"""),89.0)</f>
        <v>89</v>
      </c>
      <c r="O22" s="56">
        <f>IFERROR(__xludf.DUMMYFUNCTION("""COMPUTED_VALUE"""),77.0)</f>
        <v>77</v>
      </c>
      <c r="P22" s="28"/>
      <c r="Q22" s="34"/>
    </row>
    <row r="23">
      <c r="A23" s="32"/>
      <c r="B23" s="56" t="str">
        <f>IFERROR(__xludf.DUMMYFUNCTION("""COMPUTED_VALUE"""),"GH")</f>
        <v>GH</v>
      </c>
      <c r="C23" s="56">
        <f>IFERROR(__xludf.DUMMYFUNCTION("""COMPUTED_VALUE"""),103.0)</f>
        <v>103</v>
      </c>
      <c r="D23" s="56">
        <f>IFERROR(__xludf.DUMMYFUNCTION("""COMPUTED_VALUE"""),97.0)</f>
        <v>97</v>
      </c>
      <c r="E23" s="56">
        <f>IFERROR(__xludf.DUMMYFUNCTION("""COMPUTED_VALUE"""),82.0)</f>
        <v>82</v>
      </c>
      <c r="F23" s="35"/>
      <c r="G23" s="56" t="str">
        <f>IFERROR(__xludf.DUMMYFUNCTION("""COMPUTED_VALUE"""),"GH")</f>
        <v>GH</v>
      </c>
      <c r="H23" s="56">
        <f>IFERROR(__xludf.DUMMYFUNCTION("""COMPUTED_VALUE"""),99.0)</f>
        <v>99</v>
      </c>
      <c r="I23" s="56">
        <f>IFERROR(__xludf.DUMMYFUNCTION("""COMPUTED_VALUE"""),88.0)</f>
        <v>88</v>
      </c>
      <c r="J23" s="57">
        <f>IFERROR(__xludf.DUMMYFUNCTION("""COMPUTED_VALUE"""),77.0)</f>
        <v>77</v>
      </c>
      <c r="K23" s="80"/>
      <c r="L23" s="56" t="str">
        <f>IFERROR(__xludf.DUMMYFUNCTION("""COMPUTED_VALUE"""),"GH")</f>
        <v>GH</v>
      </c>
      <c r="M23" s="56">
        <f>IFERROR(__xludf.DUMMYFUNCTION("""COMPUTED_VALUE"""),89.0)</f>
        <v>89</v>
      </c>
      <c r="N23" s="56">
        <f>IFERROR(__xludf.DUMMYFUNCTION("""COMPUTED_VALUE"""),76.0)</f>
        <v>76</v>
      </c>
      <c r="O23" s="56">
        <f>IFERROR(__xludf.DUMMYFUNCTION("""COMPUTED_VALUE"""),70.0)</f>
        <v>70</v>
      </c>
      <c r="P23" s="28"/>
      <c r="Q23" s="34"/>
    </row>
    <row r="24">
      <c r="A24" s="32"/>
      <c r="B24" s="28"/>
      <c r="C24" s="28"/>
      <c r="D24" s="28"/>
      <c r="E24" s="34"/>
      <c r="F24" s="35"/>
      <c r="G24" s="7"/>
      <c r="H24" s="7"/>
      <c r="I24" s="7"/>
      <c r="J24" s="48"/>
      <c r="K24" s="80"/>
      <c r="L24" s="7"/>
      <c r="M24" s="7"/>
      <c r="N24" s="7"/>
      <c r="O24" s="7"/>
      <c r="P24" s="28"/>
      <c r="Q24" s="34"/>
    </row>
    <row r="25">
      <c r="A25" s="32"/>
      <c r="B25" s="26" t="str">
        <f>IFERROR(__xludf.DUMMYFUNCTION("""COMPUTED_VALUE"""),"2 ct")</f>
        <v>2 ct</v>
      </c>
      <c r="C25" s="28"/>
      <c r="D25" s="28"/>
      <c r="E25" s="34"/>
      <c r="F25" s="84"/>
      <c r="G25" s="26" t="str">
        <f>IFERROR(__xludf.DUMMYFUNCTION("""COMPUTED_VALUE"""),"2 ct")</f>
        <v>2 ct</v>
      </c>
      <c r="H25" s="7"/>
      <c r="I25" s="7"/>
      <c r="J25" s="48"/>
      <c r="K25" s="80"/>
      <c r="L25" s="26" t="str">
        <f>IFERROR(__xludf.DUMMYFUNCTION("""COMPUTED_VALUE"""),"2 ct")</f>
        <v>2 ct</v>
      </c>
      <c r="M25" s="7"/>
      <c r="N25" s="7"/>
      <c r="O25" s="7"/>
      <c r="P25" s="28"/>
      <c r="Q25" s="34"/>
    </row>
    <row r="26">
      <c r="A26" s="32"/>
      <c r="B26" s="56" t="str">
        <f>IFERROR(__xludf.DUMMYFUNCTION("""COMPUTED_VALUE"""),"Color")</f>
        <v>Color</v>
      </c>
      <c r="C26" s="56" t="str">
        <f>IFERROR(__xludf.DUMMYFUNCTION("""COMPUTED_VALUE"""),"VVS")</f>
        <v>VVS</v>
      </c>
      <c r="D26" s="56" t="str">
        <f>IFERROR(__xludf.DUMMYFUNCTION("""COMPUTED_VALUE"""),"VS")</f>
        <v>VS</v>
      </c>
      <c r="E26" s="57" t="str">
        <f>IFERROR(__xludf.DUMMYFUNCTION("""COMPUTED_VALUE"""),"SI")</f>
        <v>SI</v>
      </c>
      <c r="F26" s="84"/>
      <c r="G26" s="56" t="str">
        <f>IFERROR(__xludf.DUMMYFUNCTION("""COMPUTED_VALUE"""),"Color")</f>
        <v>Color</v>
      </c>
      <c r="H26" s="56" t="str">
        <f>IFERROR(__xludf.DUMMYFUNCTION("""COMPUTED_VALUE"""),"VVS")</f>
        <v>VVS</v>
      </c>
      <c r="I26" s="56" t="str">
        <f>IFERROR(__xludf.DUMMYFUNCTION("""COMPUTED_VALUE"""),"VS")</f>
        <v>VS</v>
      </c>
      <c r="J26" s="57" t="str">
        <f>IFERROR(__xludf.DUMMYFUNCTION("""COMPUTED_VALUE"""),"SI")</f>
        <v>SI</v>
      </c>
      <c r="K26" s="80"/>
      <c r="L26" s="56" t="str">
        <f>IFERROR(__xludf.DUMMYFUNCTION("""COMPUTED_VALUE"""),"Color")</f>
        <v>Color</v>
      </c>
      <c r="M26" s="56" t="str">
        <f>IFERROR(__xludf.DUMMYFUNCTION("""COMPUTED_VALUE"""),"VVS")</f>
        <v>VVS</v>
      </c>
      <c r="N26" s="56" t="str">
        <f>IFERROR(__xludf.DUMMYFUNCTION("""COMPUTED_VALUE"""),"VS")</f>
        <v>VS</v>
      </c>
      <c r="O26" s="56" t="str">
        <f>IFERROR(__xludf.DUMMYFUNCTION("""COMPUTED_VALUE"""),"SI")</f>
        <v>SI</v>
      </c>
      <c r="P26" s="28"/>
      <c r="Q26" s="34"/>
    </row>
    <row r="27">
      <c r="A27" s="32"/>
      <c r="B27" s="56" t="str">
        <f>IFERROR(__xludf.DUMMYFUNCTION("""COMPUTED_VALUE"""),"D")</f>
        <v>D</v>
      </c>
      <c r="C27" s="56">
        <f>IFERROR(__xludf.DUMMYFUNCTION("""COMPUTED_VALUE"""),126.0)</f>
        <v>126</v>
      </c>
      <c r="D27" s="56">
        <f>IFERROR(__xludf.DUMMYFUNCTION("""COMPUTED_VALUE"""),110.0)</f>
        <v>110</v>
      </c>
      <c r="E27" s="57">
        <f>IFERROR(__xludf.DUMMYFUNCTION("""COMPUTED_VALUE"""),101.0)</f>
        <v>101</v>
      </c>
      <c r="F27" s="84"/>
      <c r="G27" s="56" t="str">
        <f>IFERROR(__xludf.DUMMYFUNCTION("""COMPUTED_VALUE"""),"D")</f>
        <v>D</v>
      </c>
      <c r="H27" s="57">
        <f>IFERROR(__xludf.DUMMYFUNCTION("""COMPUTED_VALUE"""),115.0)</f>
        <v>115</v>
      </c>
      <c r="I27" s="56">
        <f>IFERROR(__xludf.DUMMYFUNCTION("""COMPUTED_VALUE"""),110.0)</f>
        <v>110</v>
      </c>
      <c r="J27" s="57">
        <f>IFERROR(__xludf.DUMMYFUNCTION("""COMPUTED_VALUE"""),98.0)</f>
        <v>98</v>
      </c>
      <c r="K27" s="80"/>
      <c r="L27" s="56" t="str">
        <f>IFERROR(__xludf.DUMMYFUNCTION("""COMPUTED_VALUE"""),"D")</f>
        <v>D</v>
      </c>
      <c r="M27" s="56">
        <f>IFERROR(__xludf.DUMMYFUNCTION("""COMPUTED_VALUE"""),127.0)</f>
        <v>127</v>
      </c>
      <c r="N27" s="56">
        <f>IFERROR(__xludf.DUMMYFUNCTION("""COMPUTED_VALUE"""),120.0)</f>
        <v>120</v>
      </c>
      <c r="O27" s="56">
        <f>IFERROR(__xludf.DUMMYFUNCTION("""COMPUTED_VALUE"""),115.0)</f>
        <v>115</v>
      </c>
      <c r="P27" s="28"/>
      <c r="Q27" s="34"/>
    </row>
    <row r="28">
      <c r="A28" s="32"/>
      <c r="B28" s="56" t="str">
        <f>IFERROR(__xludf.DUMMYFUNCTION("""COMPUTED_VALUE"""),"EF")</f>
        <v>EF</v>
      </c>
      <c r="C28" s="56">
        <f>IFERROR(__xludf.DUMMYFUNCTION("""COMPUTED_VALUE"""),108.0)</f>
        <v>108</v>
      </c>
      <c r="D28" s="56">
        <f>IFERROR(__xludf.DUMMYFUNCTION("""COMPUTED_VALUE"""),102.0)</f>
        <v>102</v>
      </c>
      <c r="E28" s="57">
        <f>IFERROR(__xludf.DUMMYFUNCTION("""COMPUTED_VALUE"""),89.0)</f>
        <v>89</v>
      </c>
      <c r="F28" s="84"/>
      <c r="G28" s="56" t="str">
        <f>IFERROR(__xludf.DUMMYFUNCTION("""COMPUTED_VALUE"""),"EF")</f>
        <v>EF</v>
      </c>
      <c r="H28" s="56">
        <f>IFERROR(__xludf.DUMMYFUNCTION("""COMPUTED_VALUE"""),106.0)</f>
        <v>106</v>
      </c>
      <c r="I28" s="56">
        <f>IFERROR(__xludf.DUMMYFUNCTION("""COMPUTED_VALUE"""),94.0)</f>
        <v>94</v>
      </c>
      <c r="J28" s="57">
        <f>IFERROR(__xludf.DUMMYFUNCTION("""COMPUTED_VALUE"""),86.0)</f>
        <v>86</v>
      </c>
      <c r="K28" s="80"/>
      <c r="L28" s="56" t="str">
        <f>IFERROR(__xludf.DUMMYFUNCTION("""COMPUTED_VALUE"""),"EF")</f>
        <v>EF</v>
      </c>
      <c r="M28" s="56">
        <f>IFERROR(__xludf.DUMMYFUNCTION("""COMPUTED_VALUE"""),101.0)</f>
        <v>101</v>
      </c>
      <c r="N28" s="56">
        <f>IFERROR(__xludf.DUMMYFUNCTION("""COMPUTED_VALUE"""),94.0)</f>
        <v>94</v>
      </c>
      <c r="O28" s="56">
        <f>IFERROR(__xludf.DUMMYFUNCTION("""COMPUTED_VALUE"""),79.0)</f>
        <v>79</v>
      </c>
      <c r="P28" s="28"/>
      <c r="Q28" s="34"/>
    </row>
    <row r="29">
      <c r="A29" s="32"/>
      <c r="B29" s="56" t="str">
        <f>IFERROR(__xludf.DUMMYFUNCTION("""COMPUTED_VALUE"""),"GH")</f>
        <v>GH</v>
      </c>
      <c r="C29" s="56">
        <f>IFERROR(__xludf.DUMMYFUNCTION("""COMPUTED_VALUE"""),100.0)</f>
        <v>100</v>
      </c>
      <c r="D29" s="56">
        <f>IFERROR(__xludf.DUMMYFUNCTION("""COMPUTED_VALUE"""),97.0)</f>
        <v>97</v>
      </c>
      <c r="E29" s="57">
        <f>IFERROR(__xludf.DUMMYFUNCTION("""COMPUTED_VALUE"""),67.0)</f>
        <v>67</v>
      </c>
      <c r="F29" s="90"/>
      <c r="G29" s="56" t="str">
        <f>IFERROR(__xludf.DUMMYFUNCTION("""COMPUTED_VALUE"""),"GH")</f>
        <v>GH</v>
      </c>
      <c r="H29" s="56">
        <f>IFERROR(__xludf.DUMMYFUNCTION("""COMPUTED_VALUE"""),92.0)</f>
        <v>92</v>
      </c>
      <c r="I29" s="56">
        <f>IFERROR(__xludf.DUMMYFUNCTION("""COMPUTED_VALUE"""),80.0)</f>
        <v>80</v>
      </c>
      <c r="J29" s="57">
        <f>IFERROR(__xludf.DUMMYFUNCTION("""COMPUTED_VALUE"""),74.0)</f>
        <v>74</v>
      </c>
      <c r="K29" s="90"/>
      <c r="L29" s="56" t="str">
        <f>IFERROR(__xludf.DUMMYFUNCTION("""COMPUTED_VALUE"""),"GH")</f>
        <v>GH</v>
      </c>
      <c r="M29" s="56">
        <f>IFERROR(__xludf.DUMMYFUNCTION("""COMPUTED_VALUE"""),86.0)</f>
        <v>86</v>
      </c>
      <c r="N29" s="56">
        <f>IFERROR(__xludf.DUMMYFUNCTION("""COMPUTED_VALUE"""),81.0)</f>
        <v>81</v>
      </c>
      <c r="O29" s="56">
        <f>IFERROR(__xludf.DUMMYFUNCTION("""COMPUTED_VALUE"""),75.0)</f>
        <v>75</v>
      </c>
      <c r="P29" s="28"/>
      <c r="Q29" s="34"/>
    </row>
    <row r="30">
      <c r="A30" s="32"/>
      <c r="B30" s="28"/>
      <c r="C30" s="28"/>
      <c r="D30" s="28"/>
      <c r="E30" s="34"/>
      <c r="F30" s="90"/>
      <c r="G30" s="7"/>
      <c r="H30" s="7"/>
      <c r="I30" s="7"/>
      <c r="J30" s="48"/>
      <c r="K30" s="90"/>
      <c r="L30" s="7"/>
      <c r="M30" s="7"/>
      <c r="N30" s="7"/>
      <c r="O30" s="7"/>
      <c r="P30" s="26"/>
      <c r="Q30" s="7"/>
    </row>
    <row r="31">
      <c r="A31" s="32"/>
      <c r="B31" s="26" t="str">
        <f>IFERROR(__xludf.DUMMYFUNCTION("""COMPUTED_VALUE"""),"3 ct")</f>
        <v>3 ct</v>
      </c>
      <c r="C31" s="28"/>
      <c r="D31" s="28"/>
      <c r="E31" s="34"/>
      <c r="F31" s="90"/>
      <c r="G31" s="26" t="str">
        <f>IFERROR(__xludf.DUMMYFUNCTION("""COMPUTED_VALUE"""),"3 ct")</f>
        <v>3 ct</v>
      </c>
      <c r="H31" s="7"/>
      <c r="I31" s="7"/>
      <c r="J31" s="48"/>
      <c r="K31" s="90"/>
      <c r="L31" s="26" t="str">
        <f>IFERROR(__xludf.DUMMYFUNCTION("""COMPUTED_VALUE"""),"3 ct")</f>
        <v>3 ct</v>
      </c>
      <c r="M31" s="7"/>
      <c r="N31" s="7"/>
      <c r="O31" s="7"/>
      <c r="P31" s="26"/>
      <c r="Q31" s="26"/>
    </row>
    <row r="32">
      <c r="A32" s="32"/>
      <c r="B32" s="56" t="str">
        <f>IFERROR(__xludf.DUMMYFUNCTION("""COMPUTED_VALUE"""),"Color")</f>
        <v>Color</v>
      </c>
      <c r="C32" s="56" t="str">
        <f>IFERROR(__xludf.DUMMYFUNCTION("""COMPUTED_VALUE"""),"VVS")</f>
        <v>VVS</v>
      </c>
      <c r="D32" s="56" t="str">
        <f>IFERROR(__xludf.DUMMYFUNCTION("""COMPUTED_VALUE"""),"VS")</f>
        <v>VS</v>
      </c>
      <c r="E32" s="57" t="str">
        <f>IFERROR(__xludf.DUMMYFUNCTION("""COMPUTED_VALUE"""),"SI")</f>
        <v>SI</v>
      </c>
      <c r="F32" s="90"/>
      <c r="G32" s="56" t="str">
        <f>IFERROR(__xludf.DUMMYFUNCTION("""COMPUTED_VALUE"""),"Color")</f>
        <v>Color</v>
      </c>
      <c r="H32" s="56" t="str">
        <f>IFERROR(__xludf.DUMMYFUNCTION("""COMPUTED_VALUE"""),"VVS")</f>
        <v>VVS</v>
      </c>
      <c r="I32" s="56" t="str">
        <f>IFERROR(__xludf.DUMMYFUNCTION("""COMPUTED_VALUE"""),"VS")</f>
        <v>VS</v>
      </c>
      <c r="J32" s="57" t="str">
        <f>IFERROR(__xludf.DUMMYFUNCTION("""COMPUTED_VALUE"""),"SI")</f>
        <v>SI</v>
      </c>
      <c r="K32" s="90"/>
      <c r="L32" s="56" t="str">
        <f>IFERROR(__xludf.DUMMYFUNCTION("""COMPUTED_VALUE"""),"Color")</f>
        <v>Color</v>
      </c>
      <c r="M32" s="56" t="str">
        <f>IFERROR(__xludf.DUMMYFUNCTION("""COMPUTED_VALUE"""),"VVS")</f>
        <v>VVS</v>
      </c>
      <c r="N32" s="56" t="str">
        <f>IFERROR(__xludf.DUMMYFUNCTION("""COMPUTED_VALUE"""),"VS")</f>
        <v>VS</v>
      </c>
      <c r="O32" s="56" t="str">
        <f>IFERROR(__xludf.DUMMYFUNCTION("""COMPUTED_VALUE"""),"SI")</f>
        <v>SI</v>
      </c>
      <c r="P32" s="28"/>
      <c r="Q32" s="34"/>
    </row>
    <row r="33">
      <c r="A33" s="32"/>
      <c r="B33" s="56" t="str">
        <f>IFERROR(__xludf.DUMMYFUNCTION("""COMPUTED_VALUE"""),"D")</f>
        <v>D</v>
      </c>
      <c r="C33" s="56">
        <f>IFERROR(__xludf.DUMMYFUNCTION("""COMPUTED_VALUE"""),136.0)</f>
        <v>136</v>
      </c>
      <c r="D33" s="56">
        <f>IFERROR(__xludf.DUMMYFUNCTION("""COMPUTED_VALUE"""),114.0)</f>
        <v>114</v>
      </c>
      <c r="E33" s="57">
        <f>IFERROR(__xludf.DUMMYFUNCTION("""COMPUTED_VALUE"""),112.0)</f>
        <v>112</v>
      </c>
      <c r="F33" s="90"/>
      <c r="G33" s="56" t="str">
        <f>IFERROR(__xludf.DUMMYFUNCTION("""COMPUTED_VALUE"""),"D")</f>
        <v>D</v>
      </c>
      <c r="H33" s="56">
        <f>IFERROR(__xludf.DUMMYFUNCTION("""COMPUTED_VALUE"""),127.0)</f>
        <v>127</v>
      </c>
      <c r="I33" s="56">
        <f>IFERROR(__xludf.DUMMYFUNCTION("""COMPUTED_VALUE"""),110.0)</f>
        <v>110</v>
      </c>
      <c r="J33" s="57">
        <f>IFERROR(__xludf.DUMMYFUNCTION("""COMPUTED_VALUE"""),100.0)</f>
        <v>100</v>
      </c>
      <c r="K33" s="90"/>
      <c r="L33" s="56" t="str">
        <f>IFERROR(__xludf.DUMMYFUNCTION("""COMPUTED_VALUE"""),"D")</f>
        <v>D</v>
      </c>
      <c r="M33" s="56">
        <f>IFERROR(__xludf.DUMMYFUNCTION("""COMPUTED_VALUE"""),167.0)</f>
        <v>167</v>
      </c>
      <c r="N33" s="56">
        <f>IFERROR(__xludf.DUMMYFUNCTION("""COMPUTED_VALUE"""),120.0)</f>
        <v>120</v>
      </c>
      <c r="O33" s="56">
        <f>IFERROR(__xludf.DUMMYFUNCTION("""COMPUTED_VALUE"""),115.0)</f>
        <v>115</v>
      </c>
      <c r="P33" s="28"/>
      <c r="Q33" s="34"/>
    </row>
    <row r="34">
      <c r="A34" s="32"/>
      <c r="B34" s="56" t="str">
        <f>IFERROR(__xludf.DUMMYFUNCTION("""COMPUTED_VALUE"""),"EF")</f>
        <v>EF</v>
      </c>
      <c r="C34" s="56">
        <f>IFERROR(__xludf.DUMMYFUNCTION("""COMPUTED_VALUE"""),100.0)</f>
        <v>100</v>
      </c>
      <c r="D34" s="56">
        <f>IFERROR(__xludf.DUMMYFUNCTION("""COMPUTED_VALUE"""),97.0)</f>
        <v>97</v>
      </c>
      <c r="E34" s="57">
        <f>IFERROR(__xludf.DUMMYFUNCTION("""COMPUTED_VALUE"""),76.0)</f>
        <v>76</v>
      </c>
      <c r="F34" s="90"/>
      <c r="G34" s="56" t="str">
        <f>IFERROR(__xludf.DUMMYFUNCTION("""COMPUTED_VALUE"""),"EF")</f>
        <v>EF</v>
      </c>
      <c r="H34" s="56">
        <f>IFERROR(__xludf.DUMMYFUNCTION("""COMPUTED_VALUE"""),115.0)</f>
        <v>115</v>
      </c>
      <c r="I34" s="56">
        <f>IFERROR(__xludf.DUMMYFUNCTION("""COMPUTED_VALUE"""),105.0)</f>
        <v>105</v>
      </c>
      <c r="J34" s="57">
        <f>IFERROR(__xludf.DUMMYFUNCTION("""COMPUTED_VALUE"""),99.0)</f>
        <v>99</v>
      </c>
      <c r="K34" s="90"/>
      <c r="L34" s="56" t="str">
        <f>IFERROR(__xludf.DUMMYFUNCTION("""COMPUTED_VALUE"""),"EF")</f>
        <v>EF</v>
      </c>
      <c r="M34" s="56">
        <f>IFERROR(__xludf.DUMMYFUNCTION("""COMPUTED_VALUE"""),125.0)</f>
        <v>125</v>
      </c>
      <c r="N34" s="56">
        <f>IFERROR(__xludf.DUMMYFUNCTION("""COMPUTED_VALUE"""),100.0)</f>
        <v>100</v>
      </c>
      <c r="O34" s="56">
        <f>IFERROR(__xludf.DUMMYFUNCTION("""COMPUTED_VALUE"""),82.0)</f>
        <v>82</v>
      </c>
      <c r="P34" s="28"/>
      <c r="Q34" s="34"/>
    </row>
    <row r="35">
      <c r="A35" s="32"/>
      <c r="B35" s="56" t="str">
        <f>IFERROR(__xludf.DUMMYFUNCTION("""COMPUTED_VALUE"""),"GH")</f>
        <v>GH</v>
      </c>
      <c r="C35" s="56">
        <f>IFERROR(__xludf.DUMMYFUNCTION("""COMPUTED_VALUE"""),91.0)</f>
        <v>91</v>
      </c>
      <c r="D35" s="56">
        <f>IFERROR(__xludf.DUMMYFUNCTION("""COMPUTED_VALUE"""),86.0)</f>
        <v>86</v>
      </c>
      <c r="E35" s="57">
        <f>IFERROR(__xludf.DUMMYFUNCTION("""COMPUTED_VALUE"""),79.0)</f>
        <v>79</v>
      </c>
      <c r="F35" s="90"/>
      <c r="G35" s="56" t="str">
        <f>IFERROR(__xludf.DUMMYFUNCTION("""COMPUTED_VALUE"""),"GH")</f>
        <v>GH</v>
      </c>
      <c r="H35" s="56">
        <f>IFERROR(__xludf.DUMMYFUNCTION("""COMPUTED_VALUE"""),95.0)</f>
        <v>95</v>
      </c>
      <c r="I35" s="56">
        <f>IFERROR(__xludf.DUMMYFUNCTION("""COMPUTED_VALUE"""),85.0)</f>
        <v>85</v>
      </c>
      <c r="J35" s="57">
        <f>IFERROR(__xludf.DUMMYFUNCTION("""COMPUTED_VALUE"""),79.0)</f>
        <v>79</v>
      </c>
      <c r="K35" s="90"/>
      <c r="L35" s="56" t="str">
        <f>IFERROR(__xludf.DUMMYFUNCTION("""COMPUTED_VALUE"""),"GH")</f>
        <v>GH</v>
      </c>
      <c r="M35" s="56">
        <f>IFERROR(__xludf.DUMMYFUNCTION("""COMPUTED_VALUE"""),95.0)</f>
        <v>95</v>
      </c>
      <c r="N35" s="56">
        <f>IFERROR(__xludf.DUMMYFUNCTION("""COMPUTED_VALUE"""),88.0)</f>
        <v>88</v>
      </c>
      <c r="O35" s="56">
        <f>IFERROR(__xludf.DUMMYFUNCTION("""COMPUTED_VALUE"""),81.0)</f>
        <v>81</v>
      </c>
      <c r="P35" s="28"/>
      <c r="Q35" s="34"/>
    </row>
    <row r="36">
      <c r="A36" s="32"/>
      <c r="F36" s="90"/>
      <c r="K36" s="90"/>
      <c r="L36" s="90"/>
      <c r="M36" s="90"/>
      <c r="N36" s="90"/>
      <c r="O36" s="90"/>
      <c r="P36" s="28"/>
      <c r="Q36" s="34"/>
    </row>
    <row r="37">
      <c r="A37" s="32"/>
      <c r="B37" s="97" t="s">
        <v>20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100"/>
      <c r="P37" s="26"/>
      <c r="Q37" s="26"/>
      <c r="R37" s="26"/>
    </row>
    <row r="38">
      <c r="A38" s="32"/>
      <c r="B38" s="104" t="s">
        <v>21</v>
      </c>
      <c r="P38" s="104"/>
      <c r="Q38" s="104"/>
      <c r="R38" s="104"/>
    </row>
    <row r="39">
      <c r="A39" s="32"/>
      <c r="F39" s="90"/>
      <c r="K39" s="90"/>
      <c r="L39" s="90"/>
      <c r="M39" s="90"/>
      <c r="N39" s="90"/>
      <c r="O39" s="90"/>
      <c r="P39" s="28"/>
      <c r="Q39" s="34"/>
    </row>
    <row r="40">
      <c r="A40" s="32"/>
      <c r="F40" s="90"/>
      <c r="K40" s="90"/>
      <c r="L40" s="90"/>
      <c r="M40" s="90"/>
      <c r="N40" s="90"/>
      <c r="O40" s="90"/>
      <c r="P40" s="28"/>
      <c r="Q40" s="34"/>
    </row>
    <row r="41">
      <c r="A41" s="32"/>
      <c r="F41" s="90"/>
      <c r="K41" s="90"/>
      <c r="L41" s="90"/>
      <c r="M41" s="90"/>
      <c r="N41" s="90"/>
      <c r="O41" s="90"/>
      <c r="P41" s="28"/>
      <c r="Q41" s="34"/>
    </row>
    <row r="42">
      <c r="A42" s="32"/>
      <c r="F42" s="90"/>
      <c r="K42" s="90"/>
      <c r="L42" s="90"/>
      <c r="M42" s="90"/>
      <c r="N42" s="90"/>
      <c r="O42" s="90"/>
      <c r="P42" s="28"/>
      <c r="Q42" s="34"/>
    </row>
    <row r="43">
      <c r="A43" s="32"/>
      <c r="F43" s="90"/>
      <c r="K43" s="90"/>
      <c r="L43" s="90"/>
      <c r="M43" s="90"/>
      <c r="N43" s="90"/>
      <c r="O43" s="90"/>
      <c r="P43" s="28"/>
      <c r="Q43" s="34"/>
    </row>
    <row r="44">
      <c r="A44" s="32"/>
      <c r="F44" s="90"/>
      <c r="K44" s="90"/>
      <c r="L44" s="90"/>
      <c r="M44" s="90"/>
      <c r="N44" s="90"/>
      <c r="O44" s="90"/>
      <c r="P44" s="28"/>
      <c r="Q44" s="34"/>
    </row>
    <row r="45">
      <c r="A45" s="32"/>
      <c r="F45" s="90"/>
      <c r="K45" s="90"/>
      <c r="L45" s="90"/>
      <c r="M45" s="90"/>
      <c r="N45" s="90"/>
      <c r="O45" s="90"/>
      <c r="P45" s="28"/>
      <c r="Q45" s="34"/>
    </row>
    <row r="46">
      <c r="A46" s="32"/>
      <c r="F46" s="90"/>
      <c r="K46" s="90"/>
      <c r="L46" s="90"/>
      <c r="M46" s="90"/>
      <c r="N46" s="90"/>
      <c r="O46" s="90"/>
      <c r="P46" s="28"/>
      <c r="Q46" s="34"/>
    </row>
    <row r="47">
      <c r="A47" s="32"/>
      <c r="F47" s="90"/>
      <c r="K47" s="90"/>
      <c r="L47" s="90"/>
      <c r="M47" s="90"/>
      <c r="N47" s="90"/>
      <c r="O47" s="90"/>
      <c r="P47" s="28"/>
      <c r="Q47" s="34"/>
    </row>
    <row r="48">
      <c r="A48" s="32"/>
      <c r="F48" s="90"/>
      <c r="K48" s="90"/>
      <c r="L48" s="90"/>
      <c r="M48" s="90"/>
      <c r="N48" s="90"/>
      <c r="O48" s="90"/>
      <c r="P48" s="28"/>
      <c r="Q48" s="34"/>
    </row>
    <row r="49">
      <c r="A49" s="32"/>
      <c r="F49" s="90"/>
      <c r="K49" s="90"/>
      <c r="L49" s="90"/>
      <c r="M49" s="90"/>
      <c r="N49" s="90"/>
      <c r="O49" s="90"/>
      <c r="P49" s="28"/>
      <c r="Q49" s="34"/>
    </row>
    <row r="50">
      <c r="A50" s="32"/>
      <c r="F50" s="90"/>
      <c r="K50" s="90"/>
      <c r="L50" s="90"/>
      <c r="M50" s="90"/>
      <c r="N50" s="90"/>
      <c r="O50" s="90"/>
      <c r="P50" s="28"/>
      <c r="Q50" s="34"/>
    </row>
    <row r="51">
      <c r="A51" s="32"/>
      <c r="F51" s="90"/>
      <c r="K51" s="90"/>
      <c r="L51" s="90"/>
      <c r="M51" s="90"/>
      <c r="N51" s="90"/>
      <c r="O51" s="90"/>
      <c r="P51" s="28"/>
      <c r="Q51" s="34"/>
    </row>
    <row r="52">
      <c r="A52" s="32"/>
      <c r="F52" s="90"/>
      <c r="K52" s="90"/>
      <c r="L52" s="90"/>
      <c r="M52" s="90"/>
      <c r="N52" s="90"/>
      <c r="O52" s="90"/>
      <c r="P52" s="28"/>
      <c r="Q52" s="34"/>
    </row>
    <row r="53">
      <c r="A53" s="32"/>
      <c r="F53" s="90"/>
      <c r="K53" s="90"/>
      <c r="L53" s="90"/>
      <c r="M53" s="90"/>
      <c r="N53" s="90"/>
      <c r="O53" s="90"/>
      <c r="P53" s="28"/>
      <c r="Q53" s="34"/>
    </row>
    <row r="54">
      <c r="A54" s="32"/>
      <c r="F54" s="90"/>
      <c r="K54" s="90"/>
      <c r="L54" s="90"/>
      <c r="M54" s="90"/>
      <c r="N54" s="90"/>
      <c r="O54" s="90"/>
      <c r="P54" s="28"/>
      <c r="Q54" s="34"/>
    </row>
    <row r="55">
      <c r="A55" s="32"/>
      <c r="F55" s="84"/>
      <c r="K55" s="80"/>
      <c r="L55" s="80"/>
      <c r="M55" s="34"/>
      <c r="N55" s="7"/>
      <c r="O55" s="28"/>
      <c r="P55" s="28"/>
      <c r="Q55" s="34"/>
    </row>
    <row r="56">
      <c r="A56" s="32"/>
      <c r="F56" s="84"/>
      <c r="K56" s="80"/>
      <c r="L56" s="80"/>
      <c r="M56" s="34"/>
      <c r="N56" s="7"/>
      <c r="O56" s="28"/>
      <c r="P56" s="28"/>
      <c r="Q56" s="34"/>
    </row>
    <row r="57">
      <c r="A57" s="32"/>
      <c r="F57" s="84"/>
      <c r="K57" s="80"/>
      <c r="L57" s="80"/>
      <c r="M57" s="34"/>
      <c r="N57" s="7"/>
      <c r="O57" s="28"/>
      <c r="P57" s="28"/>
      <c r="Q57" s="34"/>
    </row>
    <row r="58">
      <c r="A58" s="32"/>
      <c r="F58" s="84"/>
      <c r="K58" s="80"/>
      <c r="L58" s="80"/>
      <c r="M58" s="34"/>
      <c r="N58" s="7"/>
      <c r="O58" s="26"/>
    </row>
    <row r="59">
      <c r="A59" s="32"/>
      <c r="F59" s="110"/>
      <c r="K59" s="80"/>
      <c r="L59" s="80"/>
      <c r="M59" s="34"/>
      <c r="N59" s="7"/>
      <c r="O59" s="26"/>
      <c r="P59" s="26"/>
      <c r="Q59" s="26"/>
    </row>
    <row r="60">
      <c r="A60" s="32"/>
      <c r="F60" s="110"/>
      <c r="K60" s="80"/>
      <c r="L60" s="80"/>
      <c r="M60" s="34"/>
      <c r="N60" s="7"/>
      <c r="O60" s="28"/>
      <c r="P60" s="28"/>
      <c r="Q60" s="34"/>
    </row>
    <row r="61">
      <c r="A61" s="32"/>
      <c r="F61" s="110"/>
      <c r="K61" s="80"/>
      <c r="L61" s="80"/>
      <c r="M61" s="34"/>
      <c r="N61" s="7"/>
      <c r="O61" s="28"/>
      <c r="P61" s="28"/>
      <c r="Q61" s="34"/>
    </row>
    <row r="62">
      <c r="A62" s="32"/>
      <c r="F62" s="110"/>
      <c r="K62" s="80"/>
      <c r="L62" s="80"/>
      <c r="M62" s="34"/>
      <c r="N62" s="7"/>
      <c r="O62" s="28"/>
      <c r="P62" s="28"/>
      <c r="Q62" s="34"/>
    </row>
    <row r="63">
      <c r="A63" s="32"/>
      <c r="F63" s="110"/>
      <c r="G63" s="28"/>
      <c r="H63" s="28"/>
      <c r="I63" s="34"/>
      <c r="J63" s="7"/>
      <c r="K63" s="80"/>
      <c r="L63" s="80"/>
      <c r="M63" s="34"/>
      <c r="N63" s="7"/>
      <c r="O63" s="28"/>
      <c r="P63" s="28"/>
      <c r="Q63" s="34"/>
    </row>
    <row r="64">
      <c r="A64" s="32"/>
      <c r="F64" s="84"/>
      <c r="G64" s="28"/>
      <c r="H64" s="28"/>
      <c r="I64" s="34"/>
      <c r="J64" s="7"/>
      <c r="K64" s="80"/>
      <c r="L64" s="80"/>
      <c r="M64" s="34"/>
      <c r="N64" s="7"/>
      <c r="O64" s="28"/>
      <c r="P64" s="28"/>
      <c r="Q64" s="34"/>
    </row>
    <row r="65">
      <c r="A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</row>
    <row r="66">
      <c r="A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</row>
    <row r="67">
      <c r="A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</row>
    <row r="68">
      <c r="A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</row>
    <row r="69">
      <c r="A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</row>
    <row r="70">
      <c r="A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</row>
    <row r="71">
      <c r="A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</row>
    <row r="72">
      <c r="A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</row>
    <row r="73">
      <c r="A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</row>
    <row r="74">
      <c r="A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</row>
    <row r="75">
      <c r="A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</row>
    <row r="76">
      <c r="A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>
      <c r="A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</row>
    <row r="78">
      <c r="A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</row>
    <row r="79">
      <c r="A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</row>
    <row r="80">
      <c r="A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>
      <c r="A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</row>
    <row r="82">
      <c r="A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</row>
    <row r="83">
      <c r="A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</row>
    <row r="84">
      <c r="A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</row>
    <row r="85">
      <c r="A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</row>
    <row r="86">
      <c r="A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</row>
    <row r="87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</row>
    <row r="88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</row>
    <row r="89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</row>
    <row r="90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</row>
    <row r="9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</row>
    <row r="9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</row>
    <row r="9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</row>
    <row r="9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</row>
    <row r="96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</row>
    <row r="97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</row>
    <row r="98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</row>
    <row r="99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</row>
    <row r="100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</row>
    <row r="10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</row>
    <row r="10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</row>
    <row r="10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</row>
    <row r="104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</row>
    <row r="10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</row>
    <row r="106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</row>
    <row r="107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</row>
    <row r="108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</row>
    <row r="109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</row>
    <row r="11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</row>
    <row r="11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</row>
    <row r="11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</row>
    <row r="114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</row>
    <row r="115">
      <c r="A115" s="32"/>
      <c r="B115" s="32"/>
    </row>
    <row r="116">
      <c r="A116" s="32"/>
      <c r="B116" s="32"/>
    </row>
    <row r="117">
      <c r="A117" s="32"/>
      <c r="B117" s="32"/>
    </row>
    <row r="118">
      <c r="A118" s="32"/>
      <c r="B118" s="32"/>
    </row>
    <row r="119">
      <c r="A119" s="32"/>
      <c r="B119" s="32"/>
    </row>
    <row r="120">
      <c r="A120" s="32"/>
      <c r="B120" s="32"/>
    </row>
    <row r="121">
      <c r="A121" s="32"/>
      <c r="B121" s="32"/>
    </row>
    <row r="122">
      <c r="A122" s="32"/>
      <c r="B122" s="32"/>
    </row>
    <row r="123">
      <c r="A123" s="32"/>
      <c r="B123" s="32"/>
    </row>
    <row r="124">
      <c r="A124" s="32"/>
      <c r="B124" s="32"/>
    </row>
    <row r="125">
      <c r="A125" s="32"/>
      <c r="B125" s="32"/>
    </row>
    <row r="126">
      <c r="A126" s="32"/>
      <c r="B126" s="32"/>
    </row>
    <row r="127">
      <c r="A127" s="32"/>
      <c r="B127" s="32"/>
    </row>
    <row r="128">
      <c r="A128" s="32"/>
      <c r="B128" s="32"/>
    </row>
    <row r="129">
      <c r="A129" s="32"/>
      <c r="B129" s="32"/>
    </row>
    <row r="130">
      <c r="A130" s="32"/>
      <c r="B130" s="32"/>
    </row>
    <row r="131">
      <c r="A131" s="32"/>
      <c r="B131" s="32"/>
    </row>
    <row r="132">
      <c r="A132" s="32"/>
      <c r="B132" s="32"/>
    </row>
    <row r="133">
      <c r="A133" s="32"/>
      <c r="B133" s="32"/>
    </row>
    <row r="134">
      <c r="A134" s="32"/>
      <c r="B134" s="32"/>
    </row>
    <row r="135">
      <c r="A135" s="32"/>
      <c r="B135" s="32"/>
    </row>
    <row r="136">
      <c r="A136" s="32"/>
      <c r="B136" s="32"/>
    </row>
    <row r="137">
      <c r="A137" s="32"/>
      <c r="B137" s="32"/>
    </row>
    <row r="138">
      <c r="A138" s="32"/>
      <c r="B138" s="32"/>
    </row>
    <row r="139">
      <c r="A139" s="32"/>
      <c r="B139" s="32"/>
    </row>
    <row r="140">
      <c r="A140" s="32"/>
      <c r="B140" s="32"/>
    </row>
    <row r="141">
      <c r="A141" s="32"/>
      <c r="B141" s="32"/>
    </row>
    <row r="142">
      <c r="A142" s="32"/>
      <c r="B142" s="32"/>
    </row>
    <row r="143">
      <c r="A143" s="32"/>
      <c r="B143" s="32"/>
    </row>
    <row r="144">
      <c r="A144" s="32"/>
      <c r="B144" s="32"/>
    </row>
    <row r="145">
      <c r="A145" s="32"/>
      <c r="B145" s="32"/>
    </row>
    <row r="146">
      <c r="A146" s="32"/>
      <c r="B146" s="32"/>
    </row>
    <row r="147">
      <c r="A147" s="32"/>
      <c r="B147" s="32"/>
    </row>
  </sheetData>
  <mergeCells count="20">
    <mergeCell ref="D1:M2"/>
    <mergeCell ref="N2:Q2"/>
    <mergeCell ref="D3:M3"/>
    <mergeCell ref="N3:Q3"/>
    <mergeCell ref="D4:M4"/>
    <mergeCell ref="N4:Q4"/>
    <mergeCell ref="A5:C5"/>
    <mergeCell ref="N5:Q5"/>
    <mergeCell ref="L10:O10"/>
    <mergeCell ref="L11:O11"/>
    <mergeCell ref="B37:O37"/>
    <mergeCell ref="B38:O38"/>
    <mergeCell ref="O58:Q58"/>
    <mergeCell ref="D5:K5"/>
    <mergeCell ref="L5:M5"/>
    <mergeCell ref="G6:I6"/>
    <mergeCell ref="P6:Q6"/>
    <mergeCell ref="G7:I7"/>
    <mergeCell ref="G10:J10"/>
    <mergeCell ref="G11:J11"/>
  </mergeCells>
  <hyperlinks>
    <hyperlink r:id="rId1" ref="B38"/>
  </hyperlinks>
  <printOptions horizontalCentered="1"/>
  <pageMargins bottom="0.75" footer="0.0" header="0.0" left="0.7" right="0.7" top="0.75"/>
  <pageSetup orientation="portrait" pageOrder="overThenDown"/>
  <drawing r:id="rId2"/>
</worksheet>
</file>