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D:\MpEnsystems\SE4ALL DF 2024 - 2025\Excel sheet for CBA\"/>
    </mc:Choice>
  </mc:AlternateContent>
  <xr:revisionPtr revIDLastSave="0" documentId="13_ncr:1_{76E1F328-75EB-49BB-AA9D-E6061ED9903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enefit cost analysis" sheetId="2" r:id="rId1"/>
    <sheet name="Assumptions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9" l="1"/>
  <c r="C11" i="9" l="1"/>
  <c r="C10" i="9"/>
  <c r="D8" i="9"/>
  <c r="D9" i="9"/>
  <c r="C9" i="9"/>
  <c r="C8" i="9"/>
  <c r="C19" i="2"/>
  <c r="C64" i="2" s="1"/>
  <c r="D64" i="2" s="1"/>
  <c r="E64" i="2" s="1"/>
  <c r="F64" i="2" s="1"/>
  <c r="G64" i="2" s="1"/>
  <c r="H64" i="2" s="1"/>
  <c r="I64" i="2" s="1"/>
  <c r="J64" i="2" s="1"/>
  <c r="K64" i="2" s="1"/>
  <c r="L64" i="2" s="1"/>
  <c r="M64" i="2" s="1"/>
  <c r="D55" i="2"/>
  <c r="E55" i="2"/>
  <c r="F55" i="2"/>
  <c r="G55" i="2"/>
  <c r="H55" i="2"/>
  <c r="I55" i="2"/>
  <c r="J55" i="2"/>
  <c r="K55" i="2"/>
  <c r="L55" i="2"/>
  <c r="M55" i="2"/>
  <c r="D56" i="2"/>
  <c r="E56" i="2"/>
  <c r="F56" i="2"/>
  <c r="G56" i="2"/>
  <c r="H56" i="2"/>
  <c r="I56" i="2"/>
  <c r="J56" i="2"/>
  <c r="K56" i="2"/>
  <c r="L56" i="2"/>
  <c r="M56" i="2"/>
  <c r="D54" i="2"/>
  <c r="E54" i="2"/>
  <c r="F54" i="2"/>
  <c r="G54" i="2"/>
  <c r="H54" i="2"/>
  <c r="I54" i="2"/>
  <c r="J54" i="2"/>
  <c r="K54" i="2"/>
  <c r="L54" i="2"/>
  <c r="M54" i="2"/>
  <c r="C32" i="2"/>
  <c r="C31" i="2"/>
  <c r="C33" i="2"/>
  <c r="B13" i="2"/>
  <c r="C13" i="2"/>
  <c r="B14" i="2"/>
  <c r="C14" i="2"/>
  <c r="B12" i="2"/>
  <c r="C11" i="2"/>
  <c r="D13" i="9"/>
  <c r="D4" i="9"/>
  <c r="C4" i="9"/>
  <c r="C16" i="2" l="1"/>
  <c r="C17" i="2"/>
  <c r="C21" i="2" s="1"/>
  <c r="C14" i="9"/>
  <c r="D83" i="2"/>
  <c r="D91" i="2"/>
  <c r="E91" i="2"/>
  <c r="F91" i="2"/>
  <c r="G91" i="2"/>
  <c r="H91" i="2"/>
  <c r="I91" i="2"/>
  <c r="J91" i="2"/>
  <c r="K91" i="2"/>
  <c r="L91" i="2"/>
  <c r="M91" i="2"/>
  <c r="C85" i="2"/>
  <c r="C9" i="2"/>
  <c r="C28" i="2" l="1"/>
  <c r="C27" i="2"/>
  <c r="C29" i="2" s="1"/>
  <c r="D36" i="2" s="1"/>
  <c r="C22" i="2"/>
  <c r="E83" i="2"/>
  <c r="E36" i="2" l="1"/>
  <c r="D57" i="2"/>
  <c r="D68" i="2" s="1"/>
  <c r="C23" i="2"/>
  <c r="C89" i="2" s="1"/>
  <c r="C30" i="2"/>
  <c r="F83" i="2"/>
  <c r="F36" i="2" l="1"/>
  <c r="E84" i="2"/>
  <c r="E85" i="2" s="1"/>
  <c r="F84" i="2"/>
  <c r="F85" i="2" s="1"/>
  <c r="G84" i="2"/>
  <c r="H84" i="2"/>
  <c r="L84" i="2"/>
  <c r="M84" i="2"/>
  <c r="D84" i="2"/>
  <c r="D85" i="2" s="1"/>
  <c r="D37" i="2"/>
  <c r="I84" i="2"/>
  <c r="J84" i="2"/>
  <c r="K84" i="2"/>
  <c r="C45" i="2"/>
  <c r="C72" i="2" s="1"/>
  <c r="C74" i="2" s="1"/>
  <c r="C44" i="2"/>
  <c r="C56" i="2" s="1"/>
  <c r="C43" i="2"/>
  <c r="C55" i="2" s="1"/>
  <c r="C42" i="2"/>
  <c r="C54" i="2" s="1"/>
  <c r="E57" i="2"/>
  <c r="D58" i="2"/>
  <c r="G83" i="2"/>
  <c r="G36" i="2" l="1"/>
  <c r="E37" i="2"/>
  <c r="D38" i="2"/>
  <c r="C90" i="2"/>
  <c r="C91" i="2" s="1"/>
  <c r="C92" i="2" s="1"/>
  <c r="G4" i="2" s="1"/>
  <c r="C58" i="2"/>
  <c r="C47" i="2"/>
  <c r="D46" i="2"/>
  <c r="D47" i="2" s="1"/>
  <c r="E68" i="2"/>
  <c r="F57" i="2"/>
  <c r="E58" i="2"/>
  <c r="H83" i="2"/>
  <c r="G85" i="2"/>
  <c r="F37" i="2" l="1"/>
  <c r="E38" i="2"/>
  <c r="H36" i="2"/>
  <c r="E46" i="2"/>
  <c r="E73" i="2" s="1"/>
  <c r="E74" i="2" s="1"/>
  <c r="D73" i="2"/>
  <c r="D74" i="2" s="1"/>
  <c r="F68" i="2"/>
  <c r="F58" i="2"/>
  <c r="G57" i="2"/>
  <c r="I83" i="2"/>
  <c r="H85" i="2"/>
  <c r="I36" i="2" l="1"/>
  <c r="G37" i="2"/>
  <c r="F38" i="2"/>
  <c r="F46" i="2"/>
  <c r="F73" i="2" s="1"/>
  <c r="F74" i="2" s="1"/>
  <c r="E47" i="2"/>
  <c r="G68" i="2"/>
  <c r="H57" i="2"/>
  <c r="G58" i="2"/>
  <c r="I85" i="2"/>
  <c r="J83" i="2"/>
  <c r="G46" i="2" l="1"/>
  <c r="H46" i="2" s="1"/>
  <c r="I46" i="2" s="1"/>
  <c r="H37" i="2"/>
  <c r="G38" i="2"/>
  <c r="J36" i="2"/>
  <c r="F47" i="2"/>
  <c r="H68" i="2"/>
  <c r="I57" i="2"/>
  <c r="H58" i="2"/>
  <c r="J85" i="2"/>
  <c r="K83" i="2"/>
  <c r="H73" i="2" l="1"/>
  <c r="H74" i="2" s="1"/>
  <c r="G47" i="2"/>
  <c r="H47" i="2"/>
  <c r="G73" i="2"/>
  <c r="G74" i="2" s="1"/>
  <c r="K36" i="2"/>
  <c r="I37" i="2"/>
  <c r="H38" i="2"/>
  <c r="I68" i="2"/>
  <c r="J57" i="2"/>
  <c r="I58" i="2"/>
  <c r="J46" i="2"/>
  <c r="I73" i="2"/>
  <c r="I74" i="2" s="1"/>
  <c r="I47" i="2"/>
  <c r="K85" i="2"/>
  <c r="L83" i="2"/>
  <c r="J37" i="2" l="1"/>
  <c r="I38" i="2"/>
  <c r="L36" i="2"/>
  <c r="J68" i="2"/>
  <c r="K57" i="2"/>
  <c r="J58" i="2"/>
  <c r="K46" i="2"/>
  <c r="J73" i="2"/>
  <c r="J74" i="2" s="1"/>
  <c r="J47" i="2"/>
  <c r="L85" i="2"/>
  <c r="M83" i="2"/>
  <c r="M36" i="2" l="1"/>
  <c r="K37" i="2"/>
  <c r="J38" i="2"/>
  <c r="K68" i="2"/>
  <c r="L57" i="2"/>
  <c r="K58" i="2"/>
  <c r="L46" i="2"/>
  <c r="K73" i="2"/>
  <c r="K74" i="2" s="1"/>
  <c r="K47" i="2"/>
  <c r="M85" i="2"/>
  <c r="C86" i="2" s="1"/>
  <c r="L37" i="2" l="1"/>
  <c r="K38" i="2"/>
  <c r="L68" i="2"/>
  <c r="M57" i="2"/>
  <c r="L58" i="2"/>
  <c r="M46" i="2"/>
  <c r="L73" i="2"/>
  <c r="L74" i="2" s="1"/>
  <c r="L47" i="2"/>
  <c r="G3" i="2"/>
  <c r="G5" i="2" s="1"/>
  <c r="G6" i="2" s="1"/>
  <c r="B94" i="2"/>
  <c r="M37" i="2" l="1"/>
  <c r="M38" i="2" s="1"/>
  <c r="L38" i="2"/>
  <c r="M58" i="2"/>
  <c r="C59" i="2" s="1"/>
  <c r="M68" i="2"/>
  <c r="C69" i="2" s="1"/>
  <c r="F3" i="2" s="1"/>
  <c r="M73" i="2"/>
  <c r="M74" i="2" s="1"/>
  <c r="C75" i="2" s="1"/>
  <c r="M47" i="2"/>
  <c r="C48" i="2" s="1"/>
  <c r="C39" i="2" l="1"/>
  <c r="C65" i="2" s="1"/>
  <c r="E5" i="2" s="1"/>
  <c r="E6" i="2" s="1"/>
  <c r="D4" i="2"/>
  <c r="C4" i="2"/>
  <c r="F4" i="2"/>
  <c r="F5" i="2" s="1"/>
  <c r="F6" i="2" s="1"/>
  <c r="B77" i="2"/>
  <c r="B61" i="2" l="1"/>
  <c r="B50" i="2"/>
  <c r="D3" i="2"/>
  <c r="D5" i="2" s="1"/>
  <c r="D6" i="2" s="1"/>
  <c r="C3" i="2"/>
  <c r="C5" i="2" s="1"/>
  <c r="C6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D7BE8BB-43E8-4277-856E-55F351E54162}" keepAlive="1" name="Query - Table103 (Page 71-72)" description="Connection to the 'Table103 (Page 71-72)' query in the workbook." type="5" refreshedVersion="8" background="1" saveData="1">
    <dbPr connection="Provider=Microsoft.Mashup.OleDb.1;Data Source=$Workbook$;Location=&quot;Table103 (Page 71-72)&quot;;Extended Properties=&quot;&quot;" command="SELECT * FROM [Table103 (Page 71-72)]"/>
  </connection>
</connections>
</file>

<file path=xl/sharedStrings.xml><?xml version="1.0" encoding="utf-8"?>
<sst xmlns="http://schemas.openxmlformats.org/spreadsheetml/2006/main" count="159" uniqueCount="124">
  <si>
    <t>Assumptions</t>
  </si>
  <si>
    <t>Total sales (MUs)</t>
  </si>
  <si>
    <t>Benefit-Cost Tests</t>
  </si>
  <si>
    <t>TRC</t>
  </si>
  <si>
    <t>RIM NPV</t>
  </si>
  <si>
    <t>LRIRIM</t>
  </si>
  <si>
    <t>PCT</t>
  </si>
  <si>
    <t>SCT</t>
  </si>
  <si>
    <t>NPV Benefits</t>
  </si>
  <si>
    <t>NPV Costs</t>
  </si>
  <si>
    <t>Results of tests</t>
  </si>
  <si>
    <t>Assumptions &amp; Data</t>
  </si>
  <si>
    <t>Utility cost</t>
  </si>
  <si>
    <t>Total Benefits</t>
  </si>
  <si>
    <t>GST on communication/measurement equipments</t>
  </si>
  <si>
    <t>Socital Cost of Power, Rs/ unit</t>
  </si>
  <si>
    <t>Financial</t>
  </si>
  <si>
    <t>Year</t>
  </si>
  <si>
    <t>Cost for TRC test</t>
  </si>
  <si>
    <t>Cost of M&amp;V</t>
  </si>
  <si>
    <t>Cost of RMI test</t>
  </si>
  <si>
    <t>Total cost</t>
  </si>
  <si>
    <t>O &amp; M cost (To consumers)</t>
  </si>
  <si>
    <t>Tariff impact</t>
  </si>
  <si>
    <t>Tariff impact (INR/kWh)</t>
  </si>
  <si>
    <t>Discount rate (%)</t>
  </si>
  <si>
    <t>NPV of net benefits under RIM test is positive hence suggested for implementation</t>
  </si>
  <si>
    <t>NPV of net benefits under TRC test is positive hence programe is considered for RIM test</t>
  </si>
  <si>
    <t xml:space="preserve">Calculated </t>
  </si>
  <si>
    <t>Source</t>
  </si>
  <si>
    <t>Savings (Benefits) for TRC and RIM tests</t>
  </si>
  <si>
    <t>Participants benefit</t>
  </si>
  <si>
    <t>Participants cost</t>
  </si>
  <si>
    <t>Socital cost</t>
  </si>
  <si>
    <t>Sociatal savings</t>
  </si>
  <si>
    <t>Input from tariff order</t>
  </si>
  <si>
    <t>Cost to consumer</t>
  </si>
  <si>
    <t>Annual operational cost</t>
  </si>
  <si>
    <t>Parameter</t>
  </si>
  <si>
    <t>Heat Pump</t>
  </si>
  <si>
    <t>Unitary geysers</t>
  </si>
  <si>
    <t>rating of each unit (kW)</t>
  </si>
  <si>
    <t>Total rating of power per building</t>
  </si>
  <si>
    <t>Number of days of operation per year</t>
  </si>
  <si>
    <t>Cost per equipment (INR)</t>
  </si>
  <si>
    <t>Total cost (INR Cr)</t>
  </si>
  <si>
    <t>Cost difference (INR Cr)</t>
  </si>
  <si>
    <t xml:space="preserve">Heat pump and Geyser </t>
  </si>
  <si>
    <t>Highest Marginal cost (INR/kWh)</t>
  </si>
  <si>
    <t>Average power purchase cost (INR/kWh)</t>
  </si>
  <si>
    <t>Escalation rates for power purchase cost (%)</t>
  </si>
  <si>
    <t>Distribution loss (%)</t>
  </si>
  <si>
    <t>Transmission loss (%)</t>
  </si>
  <si>
    <t>utility subsidy to the initial cost (%)</t>
  </si>
  <si>
    <t>Marketing and administrative cost (% of total cost)</t>
  </si>
  <si>
    <t>M&amp;V cost (% of total cost)</t>
  </si>
  <si>
    <t>Discount factor</t>
  </si>
  <si>
    <t>HMC (INR/kWh)</t>
  </si>
  <si>
    <t>APPC (INR/kWh)</t>
  </si>
  <si>
    <t>Utility data</t>
  </si>
  <si>
    <t>Consumer category</t>
  </si>
  <si>
    <t>Residential</t>
  </si>
  <si>
    <t>Commercial</t>
  </si>
  <si>
    <t>Public service</t>
  </si>
  <si>
    <t>Consumer tariff (INR/kWh)</t>
  </si>
  <si>
    <t>Cost of technology</t>
  </si>
  <si>
    <t>Difference in cost (INR Cr)</t>
  </si>
  <si>
    <t>Annual energy savings</t>
  </si>
  <si>
    <t>Utility subsidy for puchanse of new technology (%)</t>
  </si>
  <si>
    <t>Program cost</t>
  </si>
  <si>
    <t>Marketing and Administrative cost (% of total cost)</t>
  </si>
  <si>
    <t>Savings in supply cost to utility (INR Lakhs)</t>
  </si>
  <si>
    <t xml:space="preserve">Marketing and administrative cost (INR Lakhs) </t>
  </si>
  <si>
    <t>Escalation in operational cost (%)</t>
  </si>
  <si>
    <t>Cost of technology to consumer +utility (INR Lakhs)</t>
  </si>
  <si>
    <t>Cost of technology to utility (INR Lakhs)</t>
  </si>
  <si>
    <t>Loss in revenue (INR Lakhs)</t>
  </si>
  <si>
    <t>Escalation in consumer tariff (%)</t>
  </si>
  <si>
    <t>CAGR for utility sales (%)</t>
  </si>
  <si>
    <t>Utility total sales (MUs)</t>
  </si>
  <si>
    <t>Cost of technology (INR Lakhs)</t>
  </si>
  <si>
    <t>NPV of Savings (INR Lakhs)</t>
  </si>
  <si>
    <t>NPV of cost for SCT (INR Lakhs)</t>
  </si>
  <si>
    <t>NPV of net benefit (Benefit -Cost) for SCT test (INR Lakhs)</t>
  </si>
  <si>
    <t>NPV of savings (INR Lakhs)</t>
  </si>
  <si>
    <t>NPV of costs (TRC) (INR Lakhs)</t>
  </si>
  <si>
    <t>NPV of net benefit (Benefit -Cost) for TRC test (INR Lakhs)</t>
  </si>
  <si>
    <t>NPV of costs (RIM) (INR Lakhs)</t>
  </si>
  <si>
    <t>NPV of net benefit (Benefit -Cost) for RIM test (INR Lakhs)</t>
  </si>
  <si>
    <t>NPV of benefits (INR Lakhs)</t>
  </si>
  <si>
    <t>NPV of costs for PCT (INR Lakhs)</t>
  </si>
  <si>
    <t>NPV of net benefit (Benefit -Cost) for PCT test (INR Lakhs)</t>
  </si>
  <si>
    <t>Admin, mkting, M&amp;V costs to utility(Rs. Lakhs)</t>
  </si>
  <si>
    <t>Total Cost of the Program (Rs. Lakhs)</t>
  </si>
  <si>
    <t>Purchase cost to utility &amp; participant, excluding  tax (Rs. Lakhs)</t>
  </si>
  <si>
    <t>Avoided external cost (Rs. Lakhs)</t>
  </si>
  <si>
    <t>Total Benefit, Rs.Lakhs</t>
  </si>
  <si>
    <t>Differnece between HMC and APPC</t>
  </si>
  <si>
    <t>Assumption</t>
  </si>
  <si>
    <t>Select consumer category</t>
  </si>
  <si>
    <t>Input from market survey</t>
  </si>
  <si>
    <t>DISCOM data</t>
  </si>
  <si>
    <t>Inputs from tariff order - discom specifc</t>
  </si>
  <si>
    <t>Technology specifc data</t>
  </si>
  <si>
    <t>Assumptions based on consumer base data</t>
  </si>
  <si>
    <t>Number of buildings in each category</t>
  </si>
  <si>
    <t>Tariff (INR/kWh)</t>
  </si>
  <si>
    <t>Number of fans to be distributed under the program</t>
  </si>
  <si>
    <t>Number of fans</t>
  </si>
  <si>
    <t>Number of hours of operation in non-peak time</t>
  </si>
  <si>
    <t>Number of hours of operation in peak time</t>
  </si>
  <si>
    <t>Annual energy consumption in peak time (kWh)</t>
  </si>
  <si>
    <t>Annual energy consumption in non-peak time (kWh)</t>
  </si>
  <si>
    <t>Total savings in energy consumption in non-peak time (kWh)</t>
  </si>
  <si>
    <t>Total savings in energy consumption in peak time (kWh)</t>
  </si>
  <si>
    <t>For consumer (kWh) in non-peak time</t>
  </si>
  <si>
    <t>For consumer (kWh) in peak time</t>
  </si>
  <si>
    <t>For utility (kWh) in non-peak time</t>
  </si>
  <si>
    <t>For utility (kWh) in peak time</t>
  </si>
  <si>
    <t>Avoided cost of supply (INR/kWh) in peak time</t>
  </si>
  <si>
    <t>Avoided cost of supply (INR/kWh) in non-peak time</t>
  </si>
  <si>
    <t>BLDC fan cost (INR Cr)</t>
  </si>
  <si>
    <t>Convential fan cost (INR Cr)</t>
  </si>
  <si>
    <t>Operational cost of BLDC fan (% of total cost)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</si>
</sst>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₹&quot;\ #,##0.00;[Red]&quot;₹&quot;\ \-#,##0.00"/>
    <numFmt numFmtId="164" formatCode="0.000000"/>
    <numFmt numFmtId="165" formatCode="0.0"/>
    <numFmt numFmtId="166" formatCode="0.000"/>
    <numFmt numFmtId="167" formatCode="&quot;₹&quot;\ #,##0.0000;[Red]&quot;₹&quot;\ \-#,##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9" fontId="8" fillId="0" borderId="0" applyFont="0" applyFill="0" applyBorder="0" applyAlignment="0" applyProtection="0"/>
  </cellStyleXfs>
  <cellXfs count="94">
    <xf numFmtId="0" fontId="0" fillId="0" borderId="0" xfId="0"/>
    <xf numFmtId="9" fontId="0" fillId="0" borderId="0" xfId="0" applyNumberFormat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2" fontId="6" fillId="4" borderId="1" xfId="2" applyNumberFormat="1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40" fontId="6" fillId="4" borderId="1" xfId="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164" fontId="6" fillId="4" borderId="1" xfId="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2" fontId="7" fillId="0" borderId="1" xfId="0" applyNumberFormat="1" applyFont="1" applyBorder="1" applyAlignment="1">
      <alignment horizontal="right" vertical="center" wrapText="1"/>
    </xf>
    <xf numFmtId="2" fontId="7" fillId="0" borderId="1" xfId="3" applyNumberFormat="1" applyFont="1" applyFill="1" applyBorder="1" applyAlignment="1">
      <alignment horizontal="right" vertical="center" wrapText="1"/>
    </xf>
    <xf numFmtId="2" fontId="0" fillId="0" borderId="0" xfId="0" applyNumberFormat="1"/>
    <xf numFmtId="165" fontId="0" fillId="0" borderId="0" xfId="0" applyNumberFormat="1"/>
    <xf numFmtId="2" fontId="7" fillId="0" borderId="0" xfId="3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2" fontId="7" fillId="0" borderId="0" xfId="0" applyNumberFormat="1" applyFont="1" applyAlignment="1">
      <alignment horizontal="righ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9" fontId="0" fillId="0" borderId="1" xfId="0" applyNumberFormat="1" applyBorder="1"/>
    <xf numFmtId="10" fontId="0" fillId="0" borderId="1" xfId="0" applyNumberFormat="1" applyBorder="1"/>
    <xf numFmtId="0" fontId="3" fillId="6" borderId="8" xfId="0" applyFont="1" applyFill="1" applyBorder="1"/>
    <xf numFmtId="0" fontId="3" fillId="6" borderId="2" xfId="0" applyFont="1" applyFill="1" applyBorder="1"/>
    <xf numFmtId="0" fontId="3" fillId="6" borderId="9" xfId="0" applyFont="1" applyFill="1" applyBorder="1"/>
    <xf numFmtId="0" fontId="0" fillId="0" borderId="10" xfId="0" applyBorder="1"/>
    <xf numFmtId="0" fontId="0" fillId="0" borderId="5" xfId="0" applyBorder="1"/>
    <xf numFmtId="0" fontId="0" fillId="0" borderId="3" xfId="0" applyBorder="1"/>
    <xf numFmtId="0" fontId="0" fillId="0" borderId="11" xfId="0" applyBorder="1"/>
    <xf numFmtId="0" fontId="0" fillId="0" borderId="4" xfId="0" applyBorder="1"/>
    <xf numFmtId="166" fontId="0" fillId="0" borderId="0" xfId="1" applyNumberFormat="1" applyFont="1" applyBorder="1"/>
    <xf numFmtId="0" fontId="3" fillId="0" borderId="5" xfId="0" applyFont="1" applyBorder="1"/>
    <xf numFmtId="0" fontId="3" fillId="6" borderId="7" xfId="0" applyFont="1" applyFill="1" applyBorder="1" applyAlignment="1">
      <alignment horizontal="center" vertical="center" wrapText="1"/>
    </xf>
    <xf numFmtId="8" fontId="3" fillId="0" borderId="6" xfId="0" applyNumberFormat="1" applyFont="1" applyBorder="1" applyAlignment="1">
      <alignment horizontal="center" vertical="center"/>
    </xf>
    <xf numFmtId="0" fontId="3" fillId="7" borderId="3" xfId="0" applyFont="1" applyFill="1" applyBorder="1"/>
    <xf numFmtId="8" fontId="3" fillId="7" borderId="3" xfId="0" applyNumberFormat="1" applyFont="1" applyFill="1" applyBorder="1"/>
    <xf numFmtId="0" fontId="3" fillId="8" borderId="3" xfId="0" applyFont="1" applyFill="1" applyBorder="1"/>
    <xf numFmtId="8" fontId="3" fillId="8" borderId="3" xfId="0" applyNumberFormat="1" applyFont="1" applyFill="1" applyBorder="1"/>
    <xf numFmtId="167" fontId="3" fillId="9" borderId="3" xfId="0" applyNumberFormat="1" applyFont="1" applyFill="1" applyBorder="1"/>
    <xf numFmtId="8" fontId="3" fillId="9" borderId="3" xfId="0" applyNumberFormat="1" applyFont="1" applyFill="1" applyBorder="1"/>
    <xf numFmtId="0" fontId="10" fillId="0" borderId="0" xfId="0" applyFont="1" applyAlignment="1">
      <alignment vertical="center" wrapText="1"/>
    </xf>
    <xf numFmtId="0" fontId="3" fillId="6" borderId="8" xfId="0" applyFont="1" applyFill="1" applyBorder="1" applyAlignment="1">
      <alignment wrapText="1"/>
    </xf>
    <xf numFmtId="2" fontId="7" fillId="0" borderId="0" xfId="3" applyNumberFormat="1" applyFont="1" applyBorder="1" applyAlignment="1">
      <alignment vertical="center"/>
    </xf>
    <xf numFmtId="0" fontId="5" fillId="7" borderId="0" xfId="0" applyFont="1" applyFill="1" applyAlignment="1">
      <alignment horizontal="left" vertical="center"/>
    </xf>
    <xf numFmtId="8" fontId="3" fillId="7" borderId="0" xfId="0" applyNumberFormat="1" applyFont="1" applyFill="1"/>
    <xf numFmtId="0" fontId="3" fillId="7" borderId="0" xfId="0" applyFont="1" applyFill="1"/>
    <xf numFmtId="2" fontId="3" fillId="7" borderId="0" xfId="0" applyNumberFormat="1" applyFont="1" applyFill="1"/>
    <xf numFmtId="0" fontId="5" fillId="0" borderId="0" xfId="0" applyFont="1" applyAlignment="1">
      <alignment horizontal="left" vertical="center"/>
    </xf>
    <xf numFmtId="2" fontId="6" fillId="4" borderId="0" xfId="2" applyNumberFormat="1" applyFont="1" applyFill="1" applyBorder="1" applyAlignment="1">
      <alignment horizontal="center" vertical="center" wrapText="1"/>
    </xf>
    <xf numFmtId="0" fontId="0" fillId="10" borderId="0" xfId="0" applyFill="1"/>
    <xf numFmtId="0" fontId="0" fillId="11" borderId="0" xfId="0" applyFill="1"/>
    <xf numFmtId="2" fontId="7" fillId="12" borderId="0" xfId="0" applyNumberFormat="1" applyFont="1" applyFill="1" applyAlignment="1">
      <alignment horizontal="left" vertical="center"/>
    </xf>
    <xf numFmtId="9" fontId="7" fillId="0" borderId="1" xfId="1" applyFont="1" applyFill="1" applyBorder="1" applyAlignment="1">
      <alignment horizontal="right" vertical="center" wrapText="1"/>
    </xf>
    <xf numFmtId="9" fontId="0" fillId="0" borderId="1" xfId="1" applyFont="1" applyBorder="1"/>
    <xf numFmtId="0" fontId="0" fillId="0" borderId="1" xfId="1" applyNumberFormat="1" applyFont="1" applyBorder="1"/>
    <xf numFmtId="166" fontId="0" fillId="0" borderId="0" xfId="0" applyNumberFormat="1"/>
    <xf numFmtId="0" fontId="11" fillId="0" borderId="0" xfId="0" applyFont="1"/>
    <xf numFmtId="0" fontId="12" fillId="5" borderId="1" xfId="0" applyFont="1" applyFill="1" applyBorder="1"/>
    <xf numFmtId="0" fontId="0" fillId="0" borderId="1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9" fontId="0" fillId="0" borderId="0" xfId="1" applyFont="1" applyBorder="1"/>
    <xf numFmtId="10" fontId="0" fillId="0" borderId="21" xfId="0" applyNumberFormat="1" applyBorder="1"/>
    <xf numFmtId="0" fontId="3" fillId="0" borderId="0" xfId="0" applyFont="1"/>
    <xf numFmtId="0" fontId="0" fillId="13" borderId="16" xfId="0" applyFill="1" applyBorder="1"/>
    <xf numFmtId="0" fontId="0" fillId="13" borderId="0" xfId="0" applyFill="1"/>
    <xf numFmtId="9" fontId="0" fillId="13" borderId="0" xfId="0" applyNumberFormat="1" applyFill="1"/>
    <xf numFmtId="0" fontId="0" fillId="13" borderId="0" xfId="1" applyNumberFormat="1" applyFont="1" applyFill="1" applyBorder="1"/>
    <xf numFmtId="0" fontId="0" fillId="14" borderId="16" xfId="0" applyFill="1" applyBorder="1"/>
    <xf numFmtId="0" fontId="0" fillId="14" borderId="17" xfId="0" applyFill="1" applyBorder="1"/>
    <xf numFmtId="0" fontId="0" fillId="14" borderId="0" xfId="0" applyFill="1"/>
    <xf numFmtId="0" fontId="0" fillId="14" borderId="19" xfId="0" applyFill="1" applyBorder="1"/>
    <xf numFmtId="0" fontId="0" fillId="15" borderId="19" xfId="0" applyFill="1" applyBorder="1"/>
    <xf numFmtId="0" fontId="0" fillId="15" borderId="0" xfId="0" applyFill="1"/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textRotation="90"/>
    </xf>
    <xf numFmtId="0" fontId="0" fillId="0" borderId="18" xfId="0" applyBorder="1" applyAlignment="1">
      <alignment horizontal="center" vertical="center" textRotation="90"/>
    </xf>
    <xf numFmtId="0" fontId="0" fillId="0" borderId="20" xfId="0" applyBorder="1" applyAlignment="1">
      <alignment horizontal="center" vertical="center" textRotation="90"/>
    </xf>
    <xf numFmtId="0" fontId="7" fillId="0" borderId="0" xfId="0" applyFont="1" applyAlignment="1">
      <alignment horizontal="left" vertical="top" wrapText="1"/>
    </xf>
  </cellXfs>
  <cellStyles count="4">
    <cellStyle name="Bad" xfId="2" builtinId="27"/>
    <cellStyle name="Normal" xfId="0" builtinId="0"/>
    <cellStyle name="Percent" xfId="1" builtinId="5"/>
    <cellStyle name="Percent 2" xfId="3" xr:uid="{D7592617-09C3-46E5-8D2C-341D08D2952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5FF5-3888-4037-B055-1BCF72E520E0}">
  <dimension ref="A1:N94"/>
  <sheetViews>
    <sheetView tabSelected="1" zoomScale="74" zoomScaleNormal="100" workbookViewId="0">
      <selection activeCell="D13" sqref="D13"/>
    </sheetView>
  </sheetViews>
  <sheetFormatPr defaultRowHeight="14.5" x14ac:dyDescent="0.35"/>
  <cols>
    <col min="1" max="1" width="29.26953125" bestFit="1" customWidth="1"/>
    <col min="2" max="2" width="66.54296875" bestFit="1" customWidth="1"/>
    <col min="3" max="3" width="13.90625" customWidth="1"/>
    <col min="5" max="5" width="22.36328125" bestFit="1" customWidth="1"/>
    <col min="7" max="7" width="11.7265625" customWidth="1"/>
    <col min="12" max="14" width="10.7265625" customWidth="1"/>
    <col min="15" max="15" width="51.7265625" bestFit="1" customWidth="1"/>
  </cols>
  <sheetData>
    <row r="1" spans="1:7" ht="18.5" x14ac:dyDescent="0.45">
      <c r="B1" s="60" t="s">
        <v>99</v>
      </c>
      <c r="C1" s="61" t="s">
        <v>63</v>
      </c>
    </row>
    <row r="2" spans="1:7" x14ac:dyDescent="0.35">
      <c r="A2" s="2"/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 x14ac:dyDescent="0.35">
      <c r="A3" s="5"/>
      <c r="B3" s="6" t="s">
        <v>8</v>
      </c>
      <c r="C3" s="7">
        <f>C39</f>
        <v>12618.28575847773</v>
      </c>
      <c r="D3" s="7">
        <f>C39</f>
        <v>12618.28575847773</v>
      </c>
      <c r="E3" s="8"/>
      <c r="F3" s="9">
        <f>C69</f>
        <v>10189.265749970766</v>
      </c>
      <c r="G3" s="7">
        <f>C86</f>
        <v>27666.01796089287</v>
      </c>
    </row>
    <row r="4" spans="1:7" x14ac:dyDescent="0.35">
      <c r="A4" s="5"/>
      <c r="B4" s="6" t="s">
        <v>9</v>
      </c>
      <c r="C4" s="7">
        <f>C48</f>
        <v>3120</v>
      </c>
      <c r="D4" s="7">
        <f>C59</f>
        <v>10909.265749970766</v>
      </c>
      <c r="E4" s="8"/>
      <c r="F4" s="7">
        <f>C75</f>
        <v>2400</v>
      </c>
      <c r="G4" s="7">
        <f>C92</f>
        <v>2580</v>
      </c>
    </row>
    <row r="5" spans="1:7" x14ac:dyDescent="0.35">
      <c r="A5" s="10"/>
      <c r="B5" s="6" t="s">
        <v>10</v>
      </c>
      <c r="C5" s="7">
        <f>C3-C4</f>
        <v>9498.2857584777303</v>
      </c>
      <c r="D5" s="7">
        <f>D3-D4</f>
        <v>1709.0200085069646</v>
      </c>
      <c r="E5" s="11">
        <f>C65</f>
        <v>-2.5880935120725221E-5</v>
      </c>
      <c r="F5" s="7">
        <f>F3-F4</f>
        <v>7789.2657499707657</v>
      </c>
      <c r="G5" s="7">
        <f>G3-G4</f>
        <v>25086.01796089287</v>
      </c>
    </row>
    <row r="6" spans="1:7" x14ac:dyDescent="0.35">
      <c r="A6" s="10"/>
      <c r="B6" s="51"/>
      <c r="C6" s="52" t="str">
        <f>IF(C5&gt;0,"PASS","FAIL")</f>
        <v>PASS</v>
      </c>
      <c r="D6" s="52" t="str">
        <f t="shared" ref="D6:G6" si="0">IF(D5&gt;0,"PASS","FAIL")</f>
        <v>PASS</v>
      </c>
      <c r="E6" s="52" t="str">
        <f>IF(E5&lt;0.001,"PASS","FAIL")</f>
        <v>PASS</v>
      </c>
      <c r="F6" s="52" t="str">
        <f t="shared" si="0"/>
        <v>PASS</v>
      </c>
      <c r="G6" s="52" t="str">
        <f t="shared" si="0"/>
        <v>PASS</v>
      </c>
    </row>
    <row r="8" spans="1:7" x14ac:dyDescent="0.35">
      <c r="A8" s="13" t="s">
        <v>11</v>
      </c>
      <c r="B8" s="3"/>
      <c r="C8" s="2"/>
      <c r="D8" s="20"/>
      <c r="E8" s="44" t="s">
        <v>29</v>
      </c>
      <c r="F8" s="20"/>
      <c r="G8" s="20"/>
    </row>
    <row r="9" spans="1:7" x14ac:dyDescent="0.35">
      <c r="A9" s="85" t="s">
        <v>59</v>
      </c>
      <c r="B9" s="14" t="s">
        <v>97</v>
      </c>
      <c r="C9" s="15">
        <f>C10-C11</f>
        <v>3</v>
      </c>
      <c r="D9" s="21"/>
      <c r="E9" s="54" t="s">
        <v>28</v>
      </c>
      <c r="F9" s="21"/>
      <c r="G9" s="21"/>
    </row>
    <row r="10" spans="1:7" x14ac:dyDescent="0.35">
      <c r="A10" s="86"/>
      <c r="B10" s="14" t="s">
        <v>57</v>
      </c>
      <c r="C10" s="16">
        <v>6</v>
      </c>
      <c r="D10" s="19"/>
      <c r="E10" s="55" t="s">
        <v>35</v>
      </c>
      <c r="F10" s="19"/>
      <c r="G10" s="19"/>
    </row>
    <row r="11" spans="1:7" x14ac:dyDescent="0.35">
      <c r="A11" s="86"/>
      <c r="B11" s="14" t="s">
        <v>58</v>
      </c>
      <c r="C11" s="16">
        <f>Assumptions!C16</f>
        <v>3</v>
      </c>
      <c r="E11" s="55" t="s">
        <v>35</v>
      </c>
    </row>
    <row r="12" spans="1:7" x14ac:dyDescent="0.35">
      <c r="A12" s="86"/>
      <c r="B12" s="14" t="str">
        <f>Assumptions!B18</f>
        <v>Escalation rates for power purchase cost (%)</v>
      </c>
      <c r="C12" s="56">
        <v>0.05</v>
      </c>
      <c r="E12" s="55" t="s">
        <v>35</v>
      </c>
    </row>
    <row r="13" spans="1:7" x14ac:dyDescent="0.35">
      <c r="A13" s="86"/>
      <c r="B13" s="14" t="str">
        <f>Assumptions!B19</f>
        <v>Distribution loss (%)</v>
      </c>
      <c r="C13" s="56">
        <f>Assumptions!C19</f>
        <v>0.15</v>
      </c>
      <c r="E13" s="55" t="s">
        <v>35</v>
      </c>
    </row>
    <row r="14" spans="1:7" x14ac:dyDescent="0.35">
      <c r="A14" s="86"/>
      <c r="B14" s="14" t="str">
        <f>Assumptions!B20</f>
        <v>Transmission loss (%)</v>
      </c>
      <c r="C14" s="56">
        <f>Assumptions!C20</f>
        <v>0.05</v>
      </c>
      <c r="E14" s="55" t="s">
        <v>35</v>
      </c>
    </row>
    <row r="15" spans="1:7" x14ac:dyDescent="0.35">
      <c r="A15" s="86"/>
      <c r="B15" s="14" t="s">
        <v>60</v>
      </c>
      <c r="C15" s="62" t="s">
        <v>61</v>
      </c>
      <c r="E15" s="55" t="s">
        <v>35</v>
      </c>
    </row>
    <row r="16" spans="1:7" x14ac:dyDescent="0.35">
      <c r="A16" s="86"/>
      <c r="B16" s="14" t="s">
        <v>64</v>
      </c>
      <c r="C16" s="22">
        <f>_xlfn.XLOOKUP(C15,Assumptions!B22:B24,Assumptions!C22:C24)</f>
        <v>4</v>
      </c>
      <c r="E16" s="55" t="s">
        <v>35</v>
      </c>
    </row>
    <row r="17" spans="1:5" x14ac:dyDescent="0.35">
      <c r="A17" s="86"/>
      <c r="B17" s="14" t="s">
        <v>107</v>
      </c>
      <c r="C17" s="22">
        <f>_xlfn.XLOOKUP('Benefit cost analysis'!C15,Assumptions!B22:B24,Assumptions!D22:D24)</f>
        <v>200000</v>
      </c>
      <c r="E17" s="55"/>
    </row>
    <row r="18" spans="1:5" x14ac:dyDescent="0.35">
      <c r="A18" s="86"/>
      <c r="B18" s="14" t="s">
        <v>78</v>
      </c>
      <c r="C18" s="24">
        <v>0.05</v>
      </c>
      <c r="E18" s="55" t="s">
        <v>35</v>
      </c>
    </row>
    <row r="19" spans="1:5" x14ac:dyDescent="0.35">
      <c r="A19" s="86"/>
      <c r="B19" s="14" t="s">
        <v>79</v>
      </c>
      <c r="C19" s="58">
        <f>Assumptions!C17</f>
        <v>500000</v>
      </c>
      <c r="E19" s="55" t="s">
        <v>35</v>
      </c>
    </row>
    <row r="20" spans="1:5" x14ac:dyDescent="0.35">
      <c r="A20" s="87"/>
      <c r="B20" s="14" t="s">
        <v>77</v>
      </c>
      <c r="C20" s="24">
        <v>0.05</v>
      </c>
      <c r="E20" s="53" t="s">
        <v>98</v>
      </c>
    </row>
    <row r="21" spans="1:5" x14ac:dyDescent="0.35">
      <c r="A21" s="83" t="s">
        <v>65</v>
      </c>
      <c r="B21" s="14" t="s">
        <v>121</v>
      </c>
      <c r="C21" s="22">
        <f>(Assumptions!C13)*C17</f>
        <v>59.999999999999993</v>
      </c>
      <c r="E21" s="55" t="s">
        <v>100</v>
      </c>
    </row>
    <row r="22" spans="1:5" x14ac:dyDescent="0.35">
      <c r="A22" s="84"/>
      <c r="B22" s="14" t="s">
        <v>122</v>
      </c>
      <c r="C22" s="22">
        <f>Assumptions!D13*C17</f>
        <v>29.999999999999996</v>
      </c>
      <c r="E22" s="55" t="s">
        <v>100</v>
      </c>
    </row>
    <row r="23" spans="1:5" x14ac:dyDescent="0.35">
      <c r="A23" s="84"/>
      <c r="B23" s="14" t="s">
        <v>66</v>
      </c>
      <c r="C23" s="22">
        <f>C21-C22</f>
        <v>29.999999999999996</v>
      </c>
      <c r="E23" s="53" t="s">
        <v>28</v>
      </c>
    </row>
    <row r="24" spans="1:5" x14ac:dyDescent="0.35">
      <c r="A24" s="84"/>
      <c r="B24" s="14" t="s">
        <v>123</v>
      </c>
      <c r="C24" s="24">
        <v>0</v>
      </c>
      <c r="E24" s="55" t="s">
        <v>100</v>
      </c>
    </row>
    <row r="25" spans="1:5" x14ac:dyDescent="0.35">
      <c r="A25" s="84"/>
      <c r="B25" s="14" t="s">
        <v>73</v>
      </c>
      <c r="C25" s="24">
        <v>0.05</v>
      </c>
      <c r="E25" s="53" t="s">
        <v>98</v>
      </c>
    </row>
    <row r="26" spans="1:5" x14ac:dyDescent="0.35">
      <c r="A26" s="84"/>
      <c r="B26" s="14" t="s">
        <v>68</v>
      </c>
      <c r="C26" s="57">
        <v>0.2</v>
      </c>
      <c r="E26" s="53" t="s">
        <v>98</v>
      </c>
    </row>
    <row r="27" spans="1:5" x14ac:dyDescent="0.35">
      <c r="A27" s="81" t="s">
        <v>67</v>
      </c>
      <c r="B27" s="14" t="s">
        <v>115</v>
      </c>
      <c r="C27" s="58">
        <f>C17*Assumptions!C10</f>
        <v>23360000.000000004</v>
      </c>
      <c r="E27" s="53"/>
    </row>
    <row r="28" spans="1:5" x14ac:dyDescent="0.35">
      <c r="A28" s="89"/>
      <c r="B28" s="14" t="s">
        <v>116</v>
      </c>
      <c r="C28" s="58">
        <f>C17*Assumptions!C11</f>
        <v>11680000.000000002</v>
      </c>
      <c r="E28" s="54" t="s">
        <v>28</v>
      </c>
    </row>
    <row r="29" spans="1:5" x14ac:dyDescent="0.35">
      <c r="A29" s="89"/>
      <c r="B29" s="14" t="s">
        <v>117</v>
      </c>
      <c r="C29" s="22">
        <f>C27/((1-C12)*(1-C13))</f>
        <v>28928792.569659449</v>
      </c>
      <c r="E29" s="54"/>
    </row>
    <row r="30" spans="1:5" x14ac:dyDescent="0.35">
      <c r="A30" s="82"/>
      <c r="B30" s="14" t="s">
        <v>118</v>
      </c>
      <c r="C30" s="22">
        <f>C28/((1-C13)*(1-C14))</f>
        <v>14464396.284829725</v>
      </c>
      <c r="E30" s="54" t="s">
        <v>28</v>
      </c>
    </row>
    <row r="31" spans="1:5" x14ac:dyDescent="0.35">
      <c r="A31" s="81" t="s">
        <v>69</v>
      </c>
      <c r="B31" s="14" t="s">
        <v>70</v>
      </c>
      <c r="C31" s="24">
        <f>Assumptions!C26</f>
        <v>0.02</v>
      </c>
      <c r="E31" s="53" t="s">
        <v>98</v>
      </c>
    </row>
    <row r="32" spans="1:5" x14ac:dyDescent="0.35">
      <c r="A32" s="82"/>
      <c r="B32" s="14" t="s">
        <v>55</v>
      </c>
      <c r="C32" s="24">
        <f>Assumptions!C27</f>
        <v>0.02</v>
      </c>
      <c r="E32" s="53" t="s">
        <v>98</v>
      </c>
    </row>
    <row r="33" spans="1:14" ht="22.5" customHeight="1" x14ac:dyDescent="0.35">
      <c r="A33" s="23" t="s">
        <v>16</v>
      </c>
      <c r="B33" s="14" t="s">
        <v>25</v>
      </c>
      <c r="C33" s="25">
        <f>Assumptions!C28</f>
        <v>0.105</v>
      </c>
      <c r="E33" s="53" t="s">
        <v>0</v>
      </c>
    </row>
    <row r="35" spans="1:14" ht="29" x14ac:dyDescent="0.35">
      <c r="A35" s="45" t="s">
        <v>30</v>
      </c>
      <c r="B35" s="27" t="s">
        <v>17</v>
      </c>
      <c r="C35" s="27">
        <v>0</v>
      </c>
      <c r="D35" s="27">
        <v>1</v>
      </c>
      <c r="E35" s="27">
        <v>2</v>
      </c>
      <c r="F35" s="27">
        <v>3</v>
      </c>
      <c r="G35" s="27">
        <v>4</v>
      </c>
      <c r="H35" s="27">
        <v>5</v>
      </c>
      <c r="I35" s="27">
        <v>6</v>
      </c>
      <c r="J35" s="27">
        <v>7</v>
      </c>
      <c r="K35" s="27">
        <v>8</v>
      </c>
      <c r="L35" s="27">
        <v>9</v>
      </c>
      <c r="M35" s="28">
        <v>10</v>
      </c>
    </row>
    <row r="36" spans="1:14" x14ac:dyDescent="0.35">
      <c r="B36" t="s">
        <v>120</v>
      </c>
      <c r="D36" s="18">
        <f>C29*C9/10^5</f>
        <v>867.86377708978353</v>
      </c>
      <c r="E36" s="18">
        <f>D36*(1+$C12)</f>
        <v>911.25696594427279</v>
      </c>
      <c r="F36" s="18">
        <f>E36*(1+$C12)</f>
        <v>956.81981424148648</v>
      </c>
      <c r="G36" s="18">
        <f t="shared" ref="G36:M36" si="1">F36*(1+$C12)</f>
        <v>1004.6608049535608</v>
      </c>
      <c r="H36" s="18">
        <f t="shared" si="1"/>
        <v>1054.8938452012389</v>
      </c>
      <c r="I36" s="18">
        <f t="shared" si="1"/>
        <v>1107.638537461301</v>
      </c>
      <c r="J36" s="18">
        <f t="shared" si="1"/>
        <v>1163.0204643343661</v>
      </c>
      <c r="K36" s="18">
        <f t="shared" si="1"/>
        <v>1221.1714875510845</v>
      </c>
      <c r="L36" s="18">
        <f t="shared" si="1"/>
        <v>1282.2300619286389</v>
      </c>
      <c r="M36" s="18">
        <f t="shared" si="1"/>
        <v>1346.3415650250708</v>
      </c>
    </row>
    <row r="37" spans="1:14" x14ac:dyDescent="0.35">
      <c r="A37" s="29"/>
      <c r="B37" t="s">
        <v>119</v>
      </c>
      <c r="D37" s="18">
        <f>C30*C10/10^5</f>
        <v>867.86377708978353</v>
      </c>
      <c r="E37" s="18">
        <f t="shared" ref="E37:M37" si="2">D37*(1+$C12)</f>
        <v>911.25696594427279</v>
      </c>
      <c r="F37" s="18">
        <f t="shared" si="2"/>
        <v>956.81981424148648</v>
      </c>
      <c r="G37" s="18">
        <f t="shared" si="2"/>
        <v>1004.6608049535608</v>
      </c>
      <c r="H37" s="18">
        <f t="shared" si="2"/>
        <v>1054.8938452012389</v>
      </c>
      <c r="I37" s="18">
        <f t="shared" si="2"/>
        <v>1107.638537461301</v>
      </c>
      <c r="J37" s="18">
        <f t="shared" si="2"/>
        <v>1163.0204643343661</v>
      </c>
      <c r="K37" s="18">
        <f t="shared" si="2"/>
        <v>1221.1714875510845</v>
      </c>
      <c r="L37" s="18">
        <f t="shared" si="2"/>
        <v>1282.2300619286389</v>
      </c>
      <c r="M37" s="18">
        <f t="shared" si="2"/>
        <v>1346.3415650250708</v>
      </c>
      <c r="N37" s="18"/>
    </row>
    <row r="38" spans="1:14" x14ac:dyDescent="0.35">
      <c r="A38" s="29"/>
      <c r="B38" t="s">
        <v>71</v>
      </c>
      <c r="C38" s="18"/>
      <c r="D38" s="18">
        <f>SUM(D36:D37)</f>
        <v>1735.7275541795671</v>
      </c>
      <c r="E38" s="18">
        <f t="shared" ref="E38:M38" si="3">SUM(E36:E37)</f>
        <v>1822.5139318885456</v>
      </c>
      <c r="F38" s="18">
        <f t="shared" si="3"/>
        <v>1913.639628482973</v>
      </c>
      <c r="G38" s="18">
        <f t="shared" si="3"/>
        <v>2009.3216099071217</v>
      </c>
      <c r="H38" s="18">
        <f t="shared" si="3"/>
        <v>2109.7876904024779</v>
      </c>
      <c r="I38" s="18">
        <f t="shared" si="3"/>
        <v>2215.277074922602</v>
      </c>
      <c r="J38" s="18">
        <f t="shared" si="3"/>
        <v>2326.0409286687322</v>
      </c>
      <c r="K38" s="18">
        <f t="shared" si="3"/>
        <v>2442.342975102169</v>
      </c>
      <c r="L38" s="18">
        <f t="shared" si="3"/>
        <v>2564.4601238572777</v>
      </c>
      <c r="M38" s="18">
        <f t="shared" si="3"/>
        <v>2692.6831300501417</v>
      </c>
    </row>
    <row r="39" spans="1:14" x14ac:dyDescent="0.35">
      <c r="A39" s="30"/>
      <c r="B39" s="40" t="s">
        <v>84</v>
      </c>
      <c r="C39" s="41">
        <f>NPV(C33,D38:M38)</f>
        <v>12618.28575847773</v>
      </c>
      <c r="D39" s="31"/>
      <c r="E39" s="31"/>
      <c r="F39" s="31"/>
      <c r="G39" s="31"/>
      <c r="H39" s="31"/>
      <c r="I39" s="31"/>
      <c r="J39" s="31"/>
      <c r="K39" s="31"/>
      <c r="L39" s="31"/>
      <c r="M39" s="32"/>
    </row>
    <row r="41" spans="1:14" x14ac:dyDescent="0.35">
      <c r="A41" s="26" t="s">
        <v>18</v>
      </c>
      <c r="B41" s="27" t="s">
        <v>17</v>
      </c>
      <c r="C41" s="27">
        <v>0</v>
      </c>
      <c r="D41" s="27">
        <v>1</v>
      </c>
      <c r="E41" s="27">
        <v>2</v>
      </c>
      <c r="F41" s="27">
        <v>3</v>
      </c>
      <c r="G41" s="27">
        <v>4</v>
      </c>
      <c r="H41" s="27">
        <v>5</v>
      </c>
      <c r="I41" s="27">
        <v>6</v>
      </c>
      <c r="J41" s="27">
        <v>7</v>
      </c>
      <c r="K41" s="27">
        <v>8</v>
      </c>
      <c r="L41" s="27">
        <v>9</v>
      </c>
      <c r="M41" s="28">
        <v>10</v>
      </c>
    </row>
    <row r="42" spans="1:14" x14ac:dyDescent="0.35">
      <c r="A42" s="88" t="s">
        <v>12</v>
      </c>
      <c r="B42" t="s">
        <v>72</v>
      </c>
      <c r="C42">
        <f>C31*C23*100</f>
        <v>60</v>
      </c>
      <c r="M42" s="33"/>
    </row>
    <row r="43" spans="1:14" x14ac:dyDescent="0.35">
      <c r="A43" s="88"/>
      <c r="B43" t="s">
        <v>75</v>
      </c>
      <c r="C43">
        <f>C23*C26*100</f>
        <v>600</v>
      </c>
    </row>
    <row r="44" spans="1:14" x14ac:dyDescent="0.35">
      <c r="A44" s="88"/>
      <c r="B44" t="s">
        <v>19</v>
      </c>
      <c r="C44">
        <f>C32*C23*100</f>
        <v>60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</row>
    <row r="45" spans="1:14" x14ac:dyDescent="0.35">
      <c r="A45" s="88" t="s">
        <v>36</v>
      </c>
      <c r="B45" t="s">
        <v>74</v>
      </c>
      <c r="C45">
        <f>C23*(1-C26)*100</f>
        <v>2400</v>
      </c>
    </row>
    <row r="46" spans="1:14" x14ac:dyDescent="0.35">
      <c r="A46" s="88"/>
      <c r="B46" t="s">
        <v>37</v>
      </c>
      <c r="D46" s="34">
        <f>C45*C24</f>
        <v>0</v>
      </c>
      <c r="E46" s="34">
        <f>D46*(1+$C$25)</f>
        <v>0</v>
      </c>
      <c r="F46" s="34">
        <f t="shared" ref="F46:M46" si="4">E46*(1+$C$25)</f>
        <v>0</v>
      </c>
      <c r="G46" s="34">
        <f t="shared" si="4"/>
        <v>0</v>
      </c>
      <c r="H46" s="34">
        <f t="shared" si="4"/>
        <v>0</v>
      </c>
      <c r="I46" s="34">
        <f t="shared" si="4"/>
        <v>0</v>
      </c>
      <c r="J46" s="34">
        <f t="shared" si="4"/>
        <v>0</v>
      </c>
      <c r="K46" s="34">
        <f t="shared" si="4"/>
        <v>0</v>
      </c>
      <c r="L46" s="34">
        <f t="shared" si="4"/>
        <v>0</v>
      </c>
      <c r="M46" s="34">
        <f t="shared" si="4"/>
        <v>0</v>
      </c>
    </row>
    <row r="47" spans="1:14" x14ac:dyDescent="0.35">
      <c r="A47" s="29"/>
      <c r="B47" t="s">
        <v>21</v>
      </c>
      <c r="C47">
        <f t="shared" ref="C47:M47" si="5">SUM(C42:C46)</f>
        <v>3120</v>
      </c>
      <c r="D47">
        <f t="shared" si="5"/>
        <v>0</v>
      </c>
      <c r="E47">
        <f t="shared" si="5"/>
        <v>0</v>
      </c>
      <c r="F47">
        <f t="shared" si="5"/>
        <v>0</v>
      </c>
      <c r="G47">
        <f t="shared" si="5"/>
        <v>0</v>
      </c>
      <c r="H47">
        <f t="shared" si="5"/>
        <v>0</v>
      </c>
      <c r="I47">
        <f t="shared" si="5"/>
        <v>0</v>
      </c>
      <c r="J47">
        <f t="shared" si="5"/>
        <v>0</v>
      </c>
      <c r="K47">
        <f t="shared" si="5"/>
        <v>0</v>
      </c>
      <c r="L47">
        <f t="shared" si="5"/>
        <v>0</v>
      </c>
      <c r="M47" s="33">
        <f t="shared" si="5"/>
        <v>0</v>
      </c>
    </row>
    <row r="48" spans="1:14" x14ac:dyDescent="0.35">
      <c r="A48" s="30"/>
      <c r="B48" s="38" t="s">
        <v>85</v>
      </c>
      <c r="C48" s="39">
        <f>C47+NPV(C33,D47:M47)</f>
        <v>3120</v>
      </c>
      <c r="D48" s="31"/>
      <c r="E48" s="31"/>
      <c r="F48" s="31"/>
      <c r="G48" s="31"/>
      <c r="H48" s="31"/>
      <c r="I48" s="31"/>
      <c r="J48" s="31"/>
      <c r="K48" s="31"/>
      <c r="L48" s="31"/>
      <c r="M48" s="32"/>
    </row>
    <row r="50" spans="1:13" ht="44" customHeight="1" thickBot="1" x14ac:dyDescent="0.4">
      <c r="A50" s="36" t="s">
        <v>86</v>
      </c>
      <c r="B50" s="37">
        <f>C39-C48</f>
        <v>9498.2857584777303</v>
      </c>
      <c r="C50" t="s">
        <v>27</v>
      </c>
    </row>
    <row r="53" spans="1:13" x14ac:dyDescent="0.35">
      <c r="A53" s="26" t="s">
        <v>20</v>
      </c>
      <c r="B53" s="27" t="s">
        <v>17</v>
      </c>
      <c r="C53" s="27">
        <v>0</v>
      </c>
      <c r="D53" s="27">
        <v>1</v>
      </c>
      <c r="E53" s="27">
        <v>2</v>
      </c>
      <c r="F53" s="27">
        <v>3</v>
      </c>
      <c r="G53" s="27">
        <v>4</v>
      </c>
      <c r="H53" s="27">
        <v>5</v>
      </c>
      <c r="I53" s="27">
        <v>6</v>
      </c>
      <c r="J53" s="27">
        <v>7</v>
      </c>
      <c r="K53" s="27">
        <v>8</v>
      </c>
      <c r="L53" s="27">
        <v>9</v>
      </c>
      <c r="M53" s="28">
        <v>10</v>
      </c>
    </row>
    <row r="54" spans="1:13" x14ac:dyDescent="0.35">
      <c r="A54" s="88" t="s">
        <v>12</v>
      </c>
      <c r="B54" t="s">
        <v>72</v>
      </c>
      <c r="C54">
        <f>C42</f>
        <v>60</v>
      </c>
      <c r="D54">
        <f t="shared" ref="D54:M54" si="6">D42</f>
        <v>0</v>
      </c>
      <c r="E54">
        <f t="shared" si="6"/>
        <v>0</v>
      </c>
      <c r="F54">
        <f t="shared" si="6"/>
        <v>0</v>
      </c>
      <c r="G54">
        <f t="shared" si="6"/>
        <v>0</v>
      </c>
      <c r="H54">
        <f t="shared" si="6"/>
        <v>0</v>
      </c>
      <c r="I54">
        <f t="shared" si="6"/>
        <v>0</v>
      </c>
      <c r="J54">
        <f t="shared" si="6"/>
        <v>0</v>
      </c>
      <c r="K54">
        <f t="shared" si="6"/>
        <v>0</v>
      </c>
      <c r="L54">
        <f t="shared" si="6"/>
        <v>0</v>
      </c>
      <c r="M54">
        <f t="shared" si="6"/>
        <v>0</v>
      </c>
    </row>
    <row r="55" spans="1:13" x14ac:dyDescent="0.35">
      <c r="A55" s="88"/>
      <c r="B55" t="s">
        <v>75</v>
      </c>
      <c r="C55">
        <f t="shared" ref="C55:M55" si="7">C43</f>
        <v>600</v>
      </c>
      <c r="D55">
        <f t="shared" si="7"/>
        <v>0</v>
      </c>
      <c r="E55">
        <f t="shared" si="7"/>
        <v>0</v>
      </c>
      <c r="F55">
        <f t="shared" si="7"/>
        <v>0</v>
      </c>
      <c r="G55">
        <f t="shared" si="7"/>
        <v>0</v>
      </c>
      <c r="H55">
        <f t="shared" si="7"/>
        <v>0</v>
      </c>
      <c r="I55">
        <f t="shared" si="7"/>
        <v>0</v>
      </c>
      <c r="J55">
        <f t="shared" si="7"/>
        <v>0</v>
      </c>
      <c r="K55">
        <f t="shared" si="7"/>
        <v>0</v>
      </c>
      <c r="L55">
        <f t="shared" si="7"/>
        <v>0</v>
      </c>
      <c r="M55">
        <f t="shared" si="7"/>
        <v>0</v>
      </c>
    </row>
    <row r="56" spans="1:13" x14ac:dyDescent="0.35">
      <c r="A56" s="88"/>
      <c r="B56" t="s">
        <v>19</v>
      </c>
      <c r="C56">
        <f t="shared" ref="C56:M56" si="8">C44</f>
        <v>60</v>
      </c>
      <c r="D56">
        <f t="shared" si="8"/>
        <v>0</v>
      </c>
      <c r="E56">
        <f t="shared" si="8"/>
        <v>0</v>
      </c>
      <c r="F56">
        <f t="shared" si="8"/>
        <v>0</v>
      </c>
      <c r="G56">
        <f t="shared" si="8"/>
        <v>0</v>
      </c>
      <c r="H56">
        <f t="shared" si="8"/>
        <v>0</v>
      </c>
      <c r="I56">
        <f t="shared" si="8"/>
        <v>0</v>
      </c>
      <c r="J56">
        <f t="shared" si="8"/>
        <v>0</v>
      </c>
      <c r="K56">
        <f t="shared" si="8"/>
        <v>0</v>
      </c>
      <c r="L56">
        <f t="shared" si="8"/>
        <v>0</v>
      </c>
      <c r="M56">
        <f t="shared" si="8"/>
        <v>0</v>
      </c>
    </row>
    <row r="57" spans="1:13" x14ac:dyDescent="0.35">
      <c r="A57" s="88"/>
      <c r="B57" t="s">
        <v>76</v>
      </c>
      <c r="D57">
        <f>(C28+C27)*C16/10^5</f>
        <v>1401.6000000000004</v>
      </c>
      <c r="E57">
        <f>D57*(1+$C20)</f>
        <v>1471.6800000000005</v>
      </c>
      <c r="F57">
        <f t="shared" ref="F57:M57" si="9">E57*(1+$C20)</f>
        <v>1545.2640000000006</v>
      </c>
      <c r="G57">
        <f t="shared" si="9"/>
        <v>1622.5272000000007</v>
      </c>
      <c r="H57">
        <f t="shared" si="9"/>
        <v>1703.6535600000009</v>
      </c>
      <c r="I57">
        <f t="shared" si="9"/>
        <v>1788.836238000001</v>
      </c>
      <c r="J57">
        <f t="shared" si="9"/>
        <v>1878.2780499000012</v>
      </c>
      <c r="K57">
        <f t="shared" si="9"/>
        <v>1972.1919523950014</v>
      </c>
      <c r="L57">
        <f t="shared" si="9"/>
        <v>2070.8015500147517</v>
      </c>
      <c r="M57">
        <f t="shared" si="9"/>
        <v>2174.3416275154896</v>
      </c>
    </row>
    <row r="58" spans="1:13" x14ac:dyDescent="0.35">
      <c r="A58" s="29"/>
      <c r="B58" t="s">
        <v>21</v>
      </c>
      <c r="C58">
        <f>SUM(C54:C57)</f>
        <v>720</v>
      </c>
      <c r="D58">
        <f t="shared" ref="D58:M58" si="10">SUM(D54:D57)</f>
        <v>1401.6000000000004</v>
      </c>
      <c r="E58">
        <f t="shared" si="10"/>
        <v>1471.6800000000005</v>
      </c>
      <c r="F58">
        <f t="shared" si="10"/>
        <v>1545.2640000000006</v>
      </c>
      <c r="G58">
        <f t="shared" si="10"/>
        <v>1622.5272000000007</v>
      </c>
      <c r="H58">
        <f t="shared" si="10"/>
        <v>1703.6535600000009</v>
      </c>
      <c r="I58">
        <f t="shared" si="10"/>
        <v>1788.836238000001</v>
      </c>
      <c r="J58">
        <f t="shared" si="10"/>
        <v>1878.2780499000012</v>
      </c>
      <c r="K58">
        <f t="shared" si="10"/>
        <v>1972.1919523950014</v>
      </c>
      <c r="L58">
        <f t="shared" si="10"/>
        <v>2070.8015500147517</v>
      </c>
      <c r="M58">
        <f t="shared" si="10"/>
        <v>2174.3416275154896</v>
      </c>
    </row>
    <row r="59" spans="1:13" x14ac:dyDescent="0.35">
      <c r="A59" s="30"/>
      <c r="B59" s="38" t="s">
        <v>87</v>
      </c>
      <c r="C59" s="39">
        <f>C58+NPV(C33,D58:M58)</f>
        <v>10909.265749970766</v>
      </c>
      <c r="D59" s="31"/>
      <c r="E59" s="31"/>
      <c r="F59" s="31"/>
      <c r="G59" s="31"/>
      <c r="H59" s="31"/>
      <c r="I59" s="31"/>
      <c r="J59" s="31"/>
      <c r="K59" s="31"/>
      <c r="L59" s="31"/>
      <c r="M59" s="32"/>
    </row>
    <row r="61" spans="1:13" ht="29" x14ac:dyDescent="0.35">
      <c r="A61" s="36" t="s">
        <v>88</v>
      </c>
      <c r="B61" s="37">
        <f>C39-C59</f>
        <v>1709.0200085069646</v>
      </c>
      <c r="C61" t="s">
        <v>26</v>
      </c>
    </row>
    <row r="63" spans="1:13" x14ac:dyDescent="0.35">
      <c r="A63" s="26" t="s">
        <v>23</v>
      </c>
      <c r="B63" s="27" t="s">
        <v>17</v>
      </c>
      <c r="C63" s="27">
        <v>0</v>
      </c>
      <c r="D63" s="27">
        <v>1</v>
      </c>
      <c r="E63" s="27">
        <v>2</v>
      </c>
      <c r="F63" s="27">
        <v>3</v>
      </c>
      <c r="G63" s="27">
        <v>4</v>
      </c>
      <c r="H63" s="27">
        <v>5</v>
      </c>
      <c r="I63" s="27">
        <v>6</v>
      </c>
      <c r="J63" s="27">
        <v>7</v>
      </c>
      <c r="K63" s="27">
        <v>8</v>
      </c>
      <c r="L63" s="27">
        <v>9</v>
      </c>
      <c r="M63" s="28">
        <v>10</v>
      </c>
    </row>
    <row r="64" spans="1:13" x14ac:dyDescent="0.35">
      <c r="A64" s="29"/>
      <c r="B64" t="s">
        <v>1</v>
      </c>
      <c r="C64">
        <f>C19</f>
        <v>500000</v>
      </c>
      <c r="D64">
        <f>C64*(1+$C18)</f>
        <v>525000</v>
      </c>
      <c r="E64">
        <f t="shared" ref="E64:M64" si="11">D64*(1+$C18)</f>
        <v>551250</v>
      </c>
      <c r="F64">
        <f t="shared" si="11"/>
        <v>578812.5</v>
      </c>
      <c r="G64">
        <f t="shared" si="11"/>
        <v>607753.125</v>
      </c>
      <c r="H64">
        <f t="shared" si="11"/>
        <v>638140.78125</v>
      </c>
      <c r="I64">
        <f t="shared" si="11"/>
        <v>670047.8203125</v>
      </c>
      <c r="J64">
        <f t="shared" si="11"/>
        <v>703550.21132812498</v>
      </c>
      <c r="K64">
        <f t="shared" si="11"/>
        <v>738727.72189453128</v>
      </c>
      <c r="L64">
        <f t="shared" si="11"/>
        <v>775664.1079892579</v>
      </c>
      <c r="M64">
        <f t="shared" si="11"/>
        <v>814447.31338872085</v>
      </c>
    </row>
    <row r="65" spans="1:13" x14ac:dyDescent="0.35">
      <c r="A65" s="35"/>
      <c r="B65" s="43" t="s">
        <v>24</v>
      </c>
      <c r="C65" s="42">
        <f>(C59-C39)*0.1/SUM(D64:M64)</f>
        <v>-2.5880935120725221E-5</v>
      </c>
      <c r="D65" s="31"/>
      <c r="E65" s="31"/>
      <c r="F65" s="31"/>
      <c r="G65" s="31"/>
      <c r="H65" s="31"/>
      <c r="I65" s="31"/>
      <c r="J65" s="31"/>
      <c r="K65" s="31"/>
      <c r="L65" s="31"/>
      <c r="M65" s="32"/>
    </row>
    <row r="67" spans="1:13" x14ac:dyDescent="0.35">
      <c r="A67" s="26" t="s">
        <v>31</v>
      </c>
      <c r="B67" s="27" t="s">
        <v>17</v>
      </c>
      <c r="C67" s="27">
        <v>0</v>
      </c>
      <c r="D67" s="27">
        <v>1</v>
      </c>
      <c r="E67" s="27">
        <v>2</v>
      </c>
      <c r="F67" s="27">
        <v>3</v>
      </c>
      <c r="G67" s="27">
        <v>4</v>
      </c>
      <c r="H67" s="27">
        <v>5</v>
      </c>
      <c r="I67" s="27">
        <v>6</v>
      </c>
      <c r="J67" s="27">
        <v>7</v>
      </c>
      <c r="K67" s="27">
        <v>8</v>
      </c>
      <c r="L67" s="27">
        <v>9</v>
      </c>
      <c r="M67" s="28">
        <v>10</v>
      </c>
    </row>
    <row r="68" spans="1:13" x14ac:dyDescent="0.35">
      <c r="B68" s="12" t="s">
        <v>13</v>
      </c>
      <c r="D68">
        <f>D57</f>
        <v>1401.6000000000004</v>
      </c>
      <c r="E68">
        <f t="shared" ref="E68:M68" si="12">E57</f>
        <v>1471.6800000000005</v>
      </c>
      <c r="F68">
        <f t="shared" si="12"/>
        <v>1545.2640000000006</v>
      </c>
      <c r="G68">
        <f t="shared" si="12"/>
        <v>1622.5272000000007</v>
      </c>
      <c r="H68">
        <f t="shared" si="12"/>
        <v>1703.6535600000009</v>
      </c>
      <c r="I68">
        <f t="shared" si="12"/>
        <v>1788.836238000001</v>
      </c>
      <c r="J68">
        <f t="shared" si="12"/>
        <v>1878.2780499000012</v>
      </c>
      <c r="K68">
        <f t="shared" si="12"/>
        <v>1972.1919523950014</v>
      </c>
      <c r="L68">
        <f t="shared" si="12"/>
        <v>2070.8015500147517</v>
      </c>
      <c r="M68">
        <f t="shared" si="12"/>
        <v>2174.3416275154896</v>
      </c>
    </row>
    <row r="69" spans="1:13" x14ac:dyDescent="0.35">
      <c r="B69" s="40" t="s">
        <v>89</v>
      </c>
      <c r="C69" s="41">
        <f>NPV(C33,D68:M68)</f>
        <v>10189.265749970766</v>
      </c>
    </row>
    <row r="71" spans="1:13" x14ac:dyDescent="0.35">
      <c r="A71" s="26" t="s">
        <v>32</v>
      </c>
      <c r="B71" s="27" t="s">
        <v>17</v>
      </c>
      <c r="C71" s="27">
        <v>0</v>
      </c>
      <c r="D71" s="27">
        <v>1</v>
      </c>
      <c r="E71" s="27">
        <v>2</v>
      </c>
      <c r="F71" s="27">
        <v>3</v>
      </c>
      <c r="G71" s="27">
        <v>4</v>
      </c>
      <c r="H71" s="27">
        <v>5</v>
      </c>
      <c r="I71" s="27">
        <v>6</v>
      </c>
      <c r="J71" s="27">
        <v>7</v>
      </c>
      <c r="K71" s="27">
        <v>8</v>
      </c>
      <c r="L71" s="27">
        <v>9</v>
      </c>
      <c r="M71" s="28">
        <v>10</v>
      </c>
    </row>
    <row r="72" spans="1:13" x14ac:dyDescent="0.35">
      <c r="A72" s="88" t="s">
        <v>36</v>
      </c>
      <c r="B72" s="12" t="s">
        <v>80</v>
      </c>
      <c r="C72">
        <f>C45</f>
        <v>2400</v>
      </c>
    </row>
    <row r="73" spans="1:13" x14ac:dyDescent="0.35">
      <c r="A73" s="88"/>
      <c r="B73" s="12" t="s">
        <v>22</v>
      </c>
      <c r="D73" s="59">
        <f>D46</f>
        <v>0</v>
      </c>
      <c r="E73" s="59">
        <f t="shared" ref="E73:M73" si="13">E46</f>
        <v>0</v>
      </c>
      <c r="F73" s="59">
        <f t="shared" si="13"/>
        <v>0</v>
      </c>
      <c r="G73" s="59">
        <f t="shared" si="13"/>
        <v>0</v>
      </c>
      <c r="H73" s="59">
        <f t="shared" si="13"/>
        <v>0</v>
      </c>
      <c r="I73" s="59">
        <f t="shared" si="13"/>
        <v>0</v>
      </c>
      <c r="J73" s="59">
        <f t="shared" si="13"/>
        <v>0</v>
      </c>
      <c r="K73" s="59">
        <f t="shared" si="13"/>
        <v>0</v>
      </c>
      <c r="L73" s="59">
        <f t="shared" si="13"/>
        <v>0</v>
      </c>
      <c r="M73" s="59">
        <f t="shared" si="13"/>
        <v>0</v>
      </c>
    </row>
    <row r="74" spans="1:13" x14ac:dyDescent="0.35">
      <c r="B74" s="12" t="s">
        <v>21</v>
      </c>
      <c r="C74">
        <f>SUM(C72:C73)</f>
        <v>2400</v>
      </c>
      <c r="D74">
        <f t="shared" ref="D74:M74" si="14">SUM(D72:D73)</f>
        <v>0</v>
      </c>
      <c r="E74">
        <f t="shared" si="14"/>
        <v>0</v>
      </c>
      <c r="F74">
        <f t="shared" si="14"/>
        <v>0</v>
      </c>
      <c r="G74">
        <f t="shared" si="14"/>
        <v>0</v>
      </c>
      <c r="H74">
        <f t="shared" si="14"/>
        <v>0</v>
      </c>
      <c r="I74">
        <f t="shared" si="14"/>
        <v>0</v>
      </c>
      <c r="J74">
        <f t="shared" si="14"/>
        <v>0</v>
      </c>
      <c r="K74">
        <f t="shared" si="14"/>
        <v>0</v>
      </c>
      <c r="L74">
        <f t="shared" si="14"/>
        <v>0</v>
      </c>
      <c r="M74">
        <f t="shared" si="14"/>
        <v>0</v>
      </c>
    </row>
    <row r="75" spans="1:13" x14ac:dyDescent="0.35">
      <c r="B75" s="47" t="s">
        <v>90</v>
      </c>
      <c r="C75" s="48">
        <f>C74+NPV(C33,D74:M74)</f>
        <v>2400</v>
      </c>
    </row>
    <row r="77" spans="1:13" ht="37.5" customHeight="1" thickBot="1" x14ac:dyDescent="0.4">
      <c r="A77" s="36" t="s">
        <v>91</v>
      </c>
      <c r="B77" s="37">
        <f>C69-C75</f>
        <v>7789.2657499707657</v>
      </c>
    </row>
    <row r="81" spans="1:13" x14ac:dyDescent="0.35">
      <c r="A81" s="26" t="s">
        <v>34</v>
      </c>
      <c r="B81" s="27" t="s">
        <v>17</v>
      </c>
      <c r="C81" s="27">
        <v>0</v>
      </c>
      <c r="D81" s="27">
        <v>1</v>
      </c>
      <c r="E81" s="27">
        <v>2</v>
      </c>
      <c r="F81" s="27">
        <v>3</v>
      </c>
      <c r="G81" s="27">
        <v>4</v>
      </c>
      <c r="H81" s="27">
        <v>5</v>
      </c>
      <c r="I81" s="27">
        <v>6</v>
      </c>
      <c r="J81" s="27">
        <v>7</v>
      </c>
      <c r="K81" s="27">
        <v>8</v>
      </c>
      <c r="L81" s="27">
        <v>9</v>
      </c>
      <c r="M81" s="28">
        <v>10</v>
      </c>
    </row>
    <row r="82" spans="1:13" x14ac:dyDescent="0.35">
      <c r="B82" t="s">
        <v>14</v>
      </c>
      <c r="C82" s="1">
        <v>0.18</v>
      </c>
    </row>
    <row r="83" spans="1:13" x14ac:dyDescent="0.35">
      <c r="B83" t="s">
        <v>15</v>
      </c>
      <c r="C83">
        <v>10.6</v>
      </c>
      <c r="D83" s="46">
        <f>C83*(1+$G$16)</f>
        <v>10.6</v>
      </c>
      <c r="E83" s="46">
        <f t="shared" ref="E83:M83" si="15">D83*(1+$G$16)</f>
        <v>10.6</v>
      </c>
      <c r="F83" s="46">
        <f t="shared" si="15"/>
        <v>10.6</v>
      </c>
      <c r="G83" s="46">
        <f t="shared" si="15"/>
        <v>10.6</v>
      </c>
      <c r="H83" s="46">
        <f t="shared" si="15"/>
        <v>10.6</v>
      </c>
      <c r="I83" s="46">
        <f t="shared" si="15"/>
        <v>10.6</v>
      </c>
      <c r="J83" s="46">
        <f t="shared" si="15"/>
        <v>10.6</v>
      </c>
      <c r="K83" s="46">
        <f t="shared" si="15"/>
        <v>10.6</v>
      </c>
      <c r="L83" s="46">
        <f t="shared" si="15"/>
        <v>10.6</v>
      </c>
      <c r="M83" s="46">
        <f t="shared" si="15"/>
        <v>10.6</v>
      </c>
    </row>
    <row r="84" spans="1:13" x14ac:dyDescent="0.35">
      <c r="B84" t="s">
        <v>95</v>
      </c>
      <c r="C84">
        <v>0</v>
      </c>
      <c r="D84">
        <f>($C30+$C29)*D83/10^5</f>
        <v>4599.6780185758525</v>
      </c>
      <c r="E84">
        <f t="shared" ref="E84:M84" si="16">($C30+$C29)*E83/10^5</f>
        <v>4599.6780185758525</v>
      </c>
      <c r="F84">
        <f t="shared" si="16"/>
        <v>4599.6780185758525</v>
      </c>
      <c r="G84">
        <f t="shared" si="16"/>
        <v>4599.6780185758525</v>
      </c>
      <c r="H84">
        <f t="shared" si="16"/>
        <v>4599.6780185758525</v>
      </c>
      <c r="I84">
        <f t="shared" si="16"/>
        <v>4599.6780185758525</v>
      </c>
      <c r="J84">
        <f t="shared" si="16"/>
        <v>4599.6780185758525</v>
      </c>
      <c r="K84">
        <f t="shared" si="16"/>
        <v>4599.6780185758525</v>
      </c>
      <c r="L84">
        <f t="shared" si="16"/>
        <v>4599.6780185758525</v>
      </c>
      <c r="M84">
        <f t="shared" si="16"/>
        <v>4599.6780185758525</v>
      </c>
    </row>
    <row r="85" spans="1:13" x14ac:dyDescent="0.35">
      <c r="B85" t="s">
        <v>96</v>
      </c>
      <c r="C85">
        <f>SUM(C84)</f>
        <v>0</v>
      </c>
      <c r="D85">
        <f>SUM(D84)</f>
        <v>4599.6780185758525</v>
      </c>
      <c r="E85">
        <f t="shared" ref="E85:M85" si="17">SUM(E84)</f>
        <v>4599.6780185758525</v>
      </c>
      <c r="F85">
        <f t="shared" si="17"/>
        <v>4599.6780185758525</v>
      </c>
      <c r="G85">
        <f t="shared" si="17"/>
        <v>4599.6780185758525</v>
      </c>
      <c r="H85">
        <f t="shared" si="17"/>
        <v>4599.6780185758525</v>
      </c>
      <c r="I85">
        <f t="shared" si="17"/>
        <v>4599.6780185758525</v>
      </c>
      <c r="J85">
        <f t="shared" si="17"/>
        <v>4599.6780185758525</v>
      </c>
      <c r="K85">
        <f t="shared" si="17"/>
        <v>4599.6780185758525</v>
      </c>
      <c r="L85">
        <f t="shared" si="17"/>
        <v>4599.6780185758525</v>
      </c>
      <c r="M85">
        <f t="shared" si="17"/>
        <v>4599.6780185758525</v>
      </c>
    </row>
    <row r="86" spans="1:13" x14ac:dyDescent="0.35">
      <c r="B86" s="40" t="s">
        <v>81</v>
      </c>
      <c r="C86" s="40">
        <f>NPV(C33,D85:M85)</f>
        <v>27666.01796089287</v>
      </c>
    </row>
    <row r="88" spans="1:13" x14ac:dyDescent="0.35">
      <c r="A88" s="26" t="s">
        <v>33</v>
      </c>
      <c r="B88" s="27" t="s">
        <v>17</v>
      </c>
      <c r="C88" s="27">
        <v>0</v>
      </c>
      <c r="D88" s="27">
        <v>1</v>
      </c>
      <c r="E88" s="27">
        <v>2</v>
      </c>
      <c r="F88" s="27">
        <v>3</v>
      </c>
      <c r="G88" s="27">
        <v>4</v>
      </c>
      <c r="H88" s="27">
        <v>5</v>
      </c>
      <c r="I88" s="27">
        <v>6</v>
      </c>
      <c r="J88" s="27">
        <v>7</v>
      </c>
      <c r="K88" s="27">
        <v>8</v>
      </c>
      <c r="L88" s="27">
        <v>9</v>
      </c>
      <c r="M88" s="28">
        <v>10</v>
      </c>
    </row>
    <row r="89" spans="1:13" x14ac:dyDescent="0.35">
      <c r="B89" t="s">
        <v>94</v>
      </c>
      <c r="C89" s="17">
        <f>(1-C82)*C23*100</f>
        <v>2460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</row>
    <row r="90" spans="1:13" x14ac:dyDescent="0.35">
      <c r="B90" t="s">
        <v>92</v>
      </c>
      <c r="C90">
        <f>SUM(C44,C42)</f>
        <v>120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</row>
    <row r="91" spans="1:13" x14ac:dyDescent="0.35">
      <c r="B91" t="s">
        <v>93</v>
      </c>
      <c r="C91" s="17">
        <f>SUM(C89:C90)</f>
        <v>2580</v>
      </c>
      <c r="D91" s="17">
        <f t="shared" ref="D91:M91" si="18">SUM(D89:D90)</f>
        <v>0</v>
      </c>
      <c r="E91" s="17">
        <f t="shared" si="18"/>
        <v>0</v>
      </c>
      <c r="F91" s="17">
        <f t="shared" si="18"/>
        <v>0</v>
      </c>
      <c r="G91" s="17">
        <f t="shared" si="18"/>
        <v>0</v>
      </c>
      <c r="H91" s="17">
        <f t="shared" si="18"/>
        <v>0</v>
      </c>
      <c r="I91" s="17">
        <f t="shared" si="18"/>
        <v>0</v>
      </c>
      <c r="J91" s="17">
        <f t="shared" si="18"/>
        <v>0</v>
      </c>
      <c r="K91" s="17">
        <f t="shared" si="18"/>
        <v>0</v>
      </c>
      <c r="L91" s="17">
        <f t="shared" si="18"/>
        <v>0</v>
      </c>
      <c r="M91" s="17">
        <f t="shared" si="18"/>
        <v>0</v>
      </c>
    </row>
    <row r="92" spans="1:13" x14ac:dyDescent="0.35">
      <c r="B92" s="49" t="s">
        <v>82</v>
      </c>
      <c r="C92" s="50">
        <f>NPV(C33,D91:M91)+C91</f>
        <v>2580</v>
      </c>
    </row>
    <row r="94" spans="1:13" ht="51.5" customHeight="1" thickBot="1" x14ac:dyDescent="0.4">
      <c r="A94" s="36" t="s">
        <v>83</v>
      </c>
      <c r="B94" s="37">
        <f>C86-C92</f>
        <v>25086.01796089287</v>
      </c>
    </row>
  </sheetData>
  <mergeCells count="8">
    <mergeCell ref="A31:A32"/>
    <mergeCell ref="A21:A26"/>
    <mergeCell ref="A9:A20"/>
    <mergeCell ref="A54:A57"/>
    <mergeCell ref="A72:A73"/>
    <mergeCell ref="A45:A46"/>
    <mergeCell ref="A42:A44"/>
    <mergeCell ref="A27:A30"/>
  </mergeCells>
  <phoneticPr fontId="9" type="noConversion"/>
  <conditionalFormatting sqref="C5:D5 F5:G5">
    <cfRule type="cellIs" dxfId="1" priority="1" operator="lessThan">
      <formula>0</formula>
    </cfRule>
  </conditionalFormatting>
  <conditionalFormatting sqref="E5">
    <cfRule type="cellIs" dxfId="0" priority="3" operator="greaterThan">
      <formula>0.01</formula>
    </cfRule>
  </conditionalFormatting>
  <pageMargins left="0.7" right="0.7" top="0.75" bottom="0.75" header="0.3" footer="0.3"/>
  <pageSetup orientation="portrait" r:id="rId1"/>
  <ignoredErrors>
    <ignoredError sqref="D74:M74" formulaRange="1"/>
    <ignoredError sqref="E5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43C6777-5B46-4A33-8D20-41BC8103B97F}">
          <x14:formula1>
            <xm:f>Assumptions!$B$22:$B$24</xm:f>
          </x14:formula1>
          <xm:sqref>G12 C1</xm:sqref>
        </x14:dataValidation>
        <x14:dataValidation type="list" allowBlank="1" showInputMessage="1" showErrorMessage="1" xr:uid="{B580DBF9-0DAA-4422-9D08-FD1EC20F610C}">
          <x14:formula1>
            <xm:f>Assumptions!$B$22:$B$22</xm:f>
          </x14:formula1>
          <xm:sqref>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CAA3B-0184-4470-8559-A957A5D96759}">
  <dimension ref="A1:E31"/>
  <sheetViews>
    <sheetView topLeftCell="A6" workbookViewId="0">
      <selection activeCell="C14" sqref="C14"/>
    </sheetView>
  </sheetViews>
  <sheetFormatPr defaultRowHeight="14.5" x14ac:dyDescent="0.35"/>
  <cols>
    <col min="2" max="2" width="51.90625" bestFit="1" customWidth="1"/>
    <col min="3" max="3" width="27.7265625" customWidth="1"/>
    <col min="4" max="4" width="32.08984375" bestFit="1" customWidth="1"/>
    <col min="5" max="5" width="37.54296875" bestFit="1" customWidth="1"/>
  </cols>
  <sheetData>
    <row r="1" spans="1:5" ht="15" thickBot="1" x14ac:dyDescent="0.4">
      <c r="A1" s="70"/>
      <c r="B1" s="70" t="s">
        <v>38</v>
      </c>
      <c r="C1" s="70" t="s">
        <v>39</v>
      </c>
      <c r="D1" s="70" t="s">
        <v>40</v>
      </c>
    </row>
    <row r="2" spans="1:5" x14ac:dyDescent="0.35">
      <c r="A2" s="90" t="s">
        <v>47</v>
      </c>
      <c r="B2" s="63" t="s">
        <v>108</v>
      </c>
      <c r="C2" s="75">
        <v>1</v>
      </c>
      <c r="D2" s="76">
        <v>1</v>
      </c>
      <c r="E2" s="77" t="s">
        <v>103</v>
      </c>
    </row>
    <row r="3" spans="1:5" x14ac:dyDescent="0.35">
      <c r="A3" s="91"/>
      <c r="B3" t="s">
        <v>41</v>
      </c>
      <c r="C3" s="77">
        <v>0.03</v>
      </c>
      <c r="D3" s="78">
        <v>7.0000000000000007E-2</v>
      </c>
    </row>
    <row r="4" spans="1:5" x14ac:dyDescent="0.35">
      <c r="A4" s="91"/>
      <c r="B4" t="s">
        <v>42</v>
      </c>
      <c r="C4" s="77">
        <f>C3*C2</f>
        <v>0.03</v>
      </c>
      <c r="D4" s="78">
        <f>D3*D2</f>
        <v>7.0000000000000007E-2</v>
      </c>
    </row>
    <row r="5" spans="1:5" x14ac:dyDescent="0.35">
      <c r="A5" s="91"/>
      <c r="B5" t="s">
        <v>110</v>
      </c>
      <c r="C5" s="77">
        <v>4</v>
      </c>
      <c r="D5" s="78">
        <v>4</v>
      </c>
    </row>
    <row r="6" spans="1:5" x14ac:dyDescent="0.35">
      <c r="A6" s="91"/>
      <c r="B6" t="s">
        <v>109</v>
      </c>
      <c r="C6" s="77">
        <v>8</v>
      </c>
      <c r="D6" s="78">
        <v>8</v>
      </c>
    </row>
    <row r="7" spans="1:5" x14ac:dyDescent="0.35">
      <c r="A7" s="91"/>
      <c r="B7" t="s">
        <v>43</v>
      </c>
      <c r="C7">
        <v>365</v>
      </c>
      <c r="D7" s="65">
        <v>365</v>
      </c>
    </row>
    <row r="8" spans="1:5" x14ac:dyDescent="0.35">
      <c r="A8" s="91"/>
      <c r="B8" t="s">
        <v>112</v>
      </c>
      <c r="C8">
        <f>C7*C6*C4</f>
        <v>87.6</v>
      </c>
      <c r="D8">
        <f>D7*D6*D4</f>
        <v>204.4</v>
      </c>
    </row>
    <row r="9" spans="1:5" x14ac:dyDescent="0.35">
      <c r="A9" s="91"/>
      <c r="B9" t="s">
        <v>111</v>
      </c>
      <c r="C9">
        <f>C7*C5*C4</f>
        <v>43.8</v>
      </c>
      <c r="D9">
        <f>D7*D5*D4</f>
        <v>102.2</v>
      </c>
    </row>
    <row r="10" spans="1:5" x14ac:dyDescent="0.35">
      <c r="A10" s="91"/>
      <c r="B10" t="s">
        <v>113</v>
      </c>
      <c r="C10">
        <f>D8-C8</f>
        <v>116.80000000000001</v>
      </c>
      <c r="D10" s="65"/>
    </row>
    <row r="11" spans="1:5" x14ac:dyDescent="0.35">
      <c r="A11" s="91"/>
      <c r="B11" t="s">
        <v>114</v>
      </c>
      <c r="C11">
        <f>D9-C9</f>
        <v>58.400000000000006</v>
      </c>
      <c r="D11" s="65"/>
    </row>
    <row r="12" spans="1:5" x14ac:dyDescent="0.35">
      <c r="A12" s="91"/>
      <c r="B12" t="s">
        <v>44</v>
      </c>
      <c r="C12">
        <v>3000</v>
      </c>
      <c r="D12" s="65">
        <v>1500</v>
      </c>
    </row>
    <row r="13" spans="1:5" x14ac:dyDescent="0.35">
      <c r="A13" s="91"/>
      <c r="B13" t="s">
        <v>45</v>
      </c>
      <c r="C13">
        <f>C12*C2/10^7</f>
        <v>2.9999999999999997E-4</v>
      </c>
      <c r="D13" s="65">
        <f>D12*D2/10^7</f>
        <v>1.4999999999999999E-4</v>
      </c>
    </row>
    <row r="14" spans="1:5" ht="15" thickBot="1" x14ac:dyDescent="0.4">
      <c r="A14" s="92"/>
      <c r="B14" s="66" t="s">
        <v>46</v>
      </c>
      <c r="C14" s="66">
        <f>C13-D13</f>
        <v>1.4999999999999999E-4</v>
      </c>
      <c r="D14" s="67"/>
    </row>
    <row r="15" spans="1:5" x14ac:dyDescent="0.35">
      <c r="A15" s="90" t="s">
        <v>101</v>
      </c>
      <c r="B15" s="63" t="s">
        <v>48</v>
      </c>
      <c r="C15" s="71">
        <v>5</v>
      </c>
      <c r="D15" s="64"/>
      <c r="E15" s="72" t="s">
        <v>102</v>
      </c>
    </row>
    <row r="16" spans="1:5" x14ac:dyDescent="0.35">
      <c r="A16" s="91"/>
      <c r="B16" t="s">
        <v>49</v>
      </c>
      <c r="C16" s="72">
        <v>3</v>
      </c>
      <c r="D16" s="65"/>
    </row>
    <row r="17" spans="1:5" x14ac:dyDescent="0.35">
      <c r="A17" s="91"/>
      <c r="B17" t="s">
        <v>79</v>
      </c>
      <c r="C17" s="72">
        <v>500000</v>
      </c>
      <c r="D17" s="65"/>
    </row>
    <row r="18" spans="1:5" x14ac:dyDescent="0.35">
      <c r="A18" s="91"/>
      <c r="B18" t="s">
        <v>50</v>
      </c>
      <c r="C18" s="73">
        <v>0.02</v>
      </c>
      <c r="D18" s="65"/>
    </row>
    <row r="19" spans="1:5" x14ac:dyDescent="0.35">
      <c r="A19" s="91"/>
      <c r="B19" t="s">
        <v>51</v>
      </c>
      <c r="C19" s="73">
        <v>0.15</v>
      </c>
      <c r="D19" s="65"/>
    </row>
    <row r="20" spans="1:5" x14ac:dyDescent="0.35">
      <c r="A20" s="91"/>
      <c r="B20" t="s">
        <v>52</v>
      </c>
      <c r="C20" s="73">
        <v>0.05</v>
      </c>
      <c r="D20" s="65"/>
    </row>
    <row r="21" spans="1:5" x14ac:dyDescent="0.35">
      <c r="A21" s="91"/>
      <c r="C21" s="73" t="s">
        <v>106</v>
      </c>
      <c r="D21" s="65" t="s">
        <v>105</v>
      </c>
    </row>
    <row r="22" spans="1:5" x14ac:dyDescent="0.35">
      <c r="A22" s="91"/>
      <c r="B22" t="s">
        <v>61</v>
      </c>
      <c r="C22" s="74">
        <v>4</v>
      </c>
      <c r="D22" s="79">
        <v>200000</v>
      </c>
      <c r="E22" s="80" t="s">
        <v>104</v>
      </c>
    </row>
    <row r="23" spans="1:5" x14ac:dyDescent="0.35">
      <c r="A23" s="91"/>
      <c r="B23" t="s">
        <v>62</v>
      </c>
      <c r="C23" s="74">
        <v>10</v>
      </c>
      <c r="D23" s="79">
        <v>200</v>
      </c>
    </row>
    <row r="24" spans="1:5" x14ac:dyDescent="0.35">
      <c r="A24" s="91"/>
      <c r="B24" t="s">
        <v>63</v>
      </c>
      <c r="C24" s="74">
        <v>6</v>
      </c>
      <c r="D24" s="79">
        <v>100</v>
      </c>
    </row>
    <row r="25" spans="1:5" x14ac:dyDescent="0.35">
      <c r="A25" s="91"/>
      <c r="B25" t="s">
        <v>53</v>
      </c>
      <c r="C25" s="1">
        <v>0.5</v>
      </c>
      <c r="D25" s="65"/>
    </row>
    <row r="26" spans="1:5" x14ac:dyDescent="0.35">
      <c r="A26" s="91"/>
      <c r="B26" t="s">
        <v>54</v>
      </c>
      <c r="C26" s="68">
        <v>0.02</v>
      </c>
      <c r="D26" s="65"/>
    </row>
    <row r="27" spans="1:5" x14ac:dyDescent="0.35">
      <c r="A27" s="91"/>
      <c r="B27" t="s">
        <v>55</v>
      </c>
      <c r="C27" s="68">
        <v>0.02</v>
      </c>
      <c r="D27" s="65"/>
    </row>
    <row r="28" spans="1:5" ht="15" thickBot="1" x14ac:dyDescent="0.4">
      <c r="A28" s="92"/>
      <c r="B28" s="66" t="s">
        <v>56</v>
      </c>
      <c r="C28" s="69">
        <v>0.105</v>
      </c>
      <c r="D28" s="67"/>
    </row>
    <row r="31" spans="1:5" ht="46" customHeight="1" x14ac:dyDescent="0.35">
      <c r="B31" s="93"/>
      <c r="C31" s="93"/>
    </row>
  </sheetData>
  <mergeCells count="3">
    <mergeCell ref="A2:A14"/>
    <mergeCell ref="B31:C31"/>
    <mergeCell ref="A15:A2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Y E A A B Q S w M E F A A C A A g A C n 5 b V 0 r N x q G k A A A A 9 g A A A B I A H A B D b 2 5 m a W c v U G F j a 2 F n Z S 5 4 b W w g o h g A K K A U A A A A A A A A A A A A A A A A A A A A A A A A A A A A h Y + x D o I w F E V / h X S n L X U x 5 F E H J x M x J i b G t S k V G u F h a L H 8 m 4 O f 5 C + I U d T N 8 Z 5 7 h n v v 1 x s s h q a O L q Z z t s W M J J S T y K B u C 4 t l R n p / j O d k I W G r 9 E m V J h p l d O n g i o x U 3 p 9 T x k I I N M x o 2 5 V M c J 6 w Q 7 7 e 6 c o 0 i n x k + 1 + O L T q v U B s i Y f 8 a I w V N R E I F F 5 Q D m y D k F r / C 2 P N n + w N h 2 d e + 7 4 w 0 G K 8 2 w K Y I 7 P 1 B P g B Q S w M E F A A C A A g A C n 5 b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p + W 1 c L 2 y E I Y A E A A B w C A A A T A B w A R m 9 y b X V s Y X M v U 2 V j d G l v b j E u b S C i G A A o o B Q A A A A A A A A A A A A A A A A A A A A A A A A A A A B t j 1 9 r w j A U x d 8 F v 8 M l I r R Q o 9 U x Y d K H T j s s z F Z q n Q / i Q 2 z j H 0 g T S S I y i t 9 9 q X Y O h s l D b u 4 5 9 / C 7 i m b 6 K D g s 7 q 8 7 a j a a D X U g k u b Q Q i n Z M u r 2 B m D N y Z 7 C 0 O 0 M + z Y C D x j V z Q a Y s x B n m V H T m e c 7 f L M r a 0 W 3 e C y 4 p l w r C x 2 0 P q m 3 b v d y u e C c s s N R s T z D Q u 6 7 C V W 3 a d X 1 o 2 j p f 7 b 7 v S S Y x 0 l q C n P d T r + P c 5 G Z n + X a + J T v k O 3 A O i x O j B Y m m 1 T A H n L x A G 1 s 5 4 7 z A P Z q s n I d 5 t 5 j D 7 S 5 r i d E k 0 1 t b 6 G 5 F I X Q Z t k p J T m V q l r u 5 s a 1 U v e t 3 w h D U C s + Y 4 u M M C K V p + W Z P h h a a H w g f G 8 y 0 + 8 T / Q t M J e F q J 2 Q x F u x c 8 E p U 1 h M C p y z R Z + x P I A l m f h g F E / D f 4 6 8 A w g h m K + R A y P X r C 6 7 G r w 6 U a L J M / D S M o 0 q f x s t k Y S z a i M D P x Z b K m 8 d q 2 x B / Q B r O g n / q 1 W 4 2 j v w p + O g H U E s B A i 0 A F A A C A A g A C n 5 b V 0 r N x q G k A A A A 9 g A A A B I A A A A A A A A A A A A A A A A A A A A A A E N v b m Z p Z y 9 Q Y W N r Y W d l L n h t b F B L A Q I t A B Q A A g A I A A p + W 1 c P y u m r p A A A A O k A A A A T A A A A A A A A A A A A A A A A A P A A A A B b Q 2 9 u d G V u d F 9 U e X B l c 1 0 u e G 1 s U E s B A i 0 A F A A C A A g A C n 5 b V w v b I Q h g A Q A A H A I A A B M A A A A A A A A A A A A A A A A A 4 Q E A A E Z v c m 1 1 b G F z L 1 N l Y 3 R p b 2 4 x L m 1 Q S w U G A A A A A A M A A w D C A A A A j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D g s A A A A A A A D s C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M D M l M j A o U G F n Z S U y M D c x L T c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w L T I 1 V D E x O j Q 0 O j I y L j A 2 M T c w O T F a I i A v P j x F b n R y e S B U e X B l P S J G a W x s Q 2 9 s d W 1 u V H l w Z X M i I F Z h b H V l P S J z Q X d V R i I g L z 4 8 R W 5 0 c n k g V H l w Z T 0 i R m l s b E N v b H V t b k 5 h b W V z I i B W Y W x 1 Z T 0 i c 1 s m c X V v d D t M T 0 F E I F J F T U F J T k V E I E F C T 1 Z F I E l O I E 1 X J n F 1 b 3 Q 7 L C Z x d W 9 0 O 0 R V U k F U S U 9 O I E l O I E h P V V J T J n F 1 b 3 Q 7 L C Z x d W 9 0 O y g l K S B P R i B U S U 1 F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M D M g K F B h Z 2 U g N z E t N z I p L 0 F 1 d G 9 S Z W 1 v d m V k Q 2 9 s d W 1 u c z E u e 0 x P Q U Q g U k V N Q U l O R U Q g Q U J P V k U g S U 4 g T V c s M H 0 m c X V v d D s s J n F 1 b 3 Q 7 U 2 V j d G l v b j E v V G F i b G U x M D M g K F B h Z 2 U g N z E t N z I p L 0 F 1 d G 9 S Z W 1 v d m V k Q 2 9 s d W 1 u c z E u e 0 R V U k F U S U 9 O I E l O I E h P V V J T L D F 9 J n F 1 b 3 Q 7 L C Z x d W 9 0 O 1 N l Y 3 R p b 2 4 x L 1 R h Y m x l M T A z I C h Q Y W d l I D c x L T c y K S 9 B d X R v U m V t b 3 Z l Z E N v b H V t b n M x L n s o J S k g T 0 Y g V E l N R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E w M y A o U G F n Z S A 3 M S 0 3 M i k v Q X V 0 b 1 J l b W 9 2 Z W R D b 2 x 1 b W 5 z M S 5 7 T E 9 B R C B S R U 1 B S U 5 F R C B B Q k 9 W R S B J T i B N V y w w f S Z x d W 9 0 O y w m c X V v d D t T Z W N 0 a W 9 u M S 9 U Y W J s Z T E w M y A o U G F n Z S A 3 M S 0 3 M i k v Q X V 0 b 1 J l b W 9 2 Z W R D b 2 x 1 b W 5 z M S 5 7 R F V S Q V R J T 0 4 g S U 4 g S E 9 V U l M s M X 0 m c X V v d D s s J n F 1 b 3 Q 7 U 2 V j d G l v b j E v V G F i b G U x M D M g K F B h Z 2 U g N z E t N z I p L 0 F 1 d G 9 S Z W 1 v d m V k Q 2 9 s d W 1 u c z E u e y g l K S B P R i B U S U 1 F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w M y U y M C h Q Y W d l J T I w N z E t N z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A z J T I w K F B h Z 2 U l M j A 3 M S 0 3 M i k v V G F i b G U x M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w M y U y M C h Q Y W d l J T I w N z E t N z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A z J T I w K F B h Z 2 U l M j A 3 M S 0 3 M i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J u S 1 T x 3 z i 0 m B C x t o 3 + + v o Q A A A A A C A A A A A A A Q Z g A A A A E A A C A A A A C B 9 k W g 9 c W K Z T w u 8 S s T r M e e C 8 3 u b 2 7 0 8 U N d 6 s y I d + w v 3 Q A A A A A O g A A A A A I A A C A A A A D L d I M h R + K G q W 7 S 4 R l e s k 8 x 4 O q F t M d 9 C Y C 6 Q J s P 2 m y 5 s l A A A A D V 8 v 9 K m T D 7 1 S w C W Y P J C M u c O t U I a o Q w U C 0 j 7 y K S g S 6 Z U 2 U w Z j n S X Q P u R d l / R x 5 Q S r 2 x O S H H j 3 0 K D m A c r Q j t v v J / + k d 5 m i O P s D m 0 c P m o a 7 Y T 2 U A A A A A X p V c + G 1 g s M 2 m g g g O v Q x 0 f N h y W 1 c M s v s a r v 6 i 3 v 7 5 1 w H Y m L r 2 p m U 3 d L h d 7 W x B E r s r Q R s F W a o N D X s 7 N V y G P b 1 y K < / D a t a M a s h u p > 
</file>

<file path=customXml/itemProps1.xml><?xml version="1.0" encoding="utf-8"?>
<ds:datastoreItem xmlns:ds="http://schemas.openxmlformats.org/officeDocument/2006/customXml" ds:itemID="{18920EDA-93D0-4C17-B7A5-2791C1569E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Benefit cost analysis</vt:lpstr>
      <vt:lpstr>Assumptions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Kaustubh</dc:creator>
  <cp:lastModifiedBy>Kaustubh Arekar</cp:lastModifiedBy>
  <dcterms:created xsi:type="dcterms:W3CDTF">2015-06-05T18:17:20Z</dcterms:created>
  <dcterms:modified xsi:type="dcterms:W3CDTF">2025-03-06T10:19:15Z</dcterms:modified>
</cp:coreProperties>
</file>