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7.xml"/>
  <Override ContentType="application/vnd.openxmlformats-officedocument.drawingml.chart+xml" PartName="/xl/charts/chart27.xml"/>
  <Override ContentType="application/vnd.openxmlformats-officedocument.drawingml.chart+xml" PartName="/xl/charts/chart14.xml"/>
  <Override ContentType="application/vnd.openxmlformats-officedocument.drawingml.chart+xml" PartName="/xl/charts/chart30.xml"/>
  <Override ContentType="application/vnd.openxmlformats-officedocument.drawingml.chart+xml" PartName="/xl/charts/chart18.xml"/>
  <Override ContentType="application/vnd.openxmlformats-officedocument.drawingml.chart+xml" PartName="/xl/charts/chart43.xml"/>
  <Override ContentType="application/vnd.openxmlformats-officedocument.drawingml.chart+xml" PartName="/xl/charts/chart13.xml"/>
  <Override ContentType="application/vnd.openxmlformats-officedocument.drawingml.chart+xml" PartName="/xl/charts/chart44.xml"/>
  <Override ContentType="application/vnd.openxmlformats-officedocument.drawingml.chart+xml" PartName="/xl/charts/chart31.xml"/>
  <Override ContentType="application/vnd.openxmlformats-officedocument.drawingml.chart+xml" PartName="/xl/charts/chart26.xml"/>
  <Override ContentType="application/vnd.openxmlformats-officedocument.drawingml.chart+xml" PartName="/xl/charts/chart39.xml"/>
  <Override ContentType="application/vnd.openxmlformats-officedocument.drawingml.chart+xml" PartName="/xl/charts/chart35.xml"/>
  <Override ContentType="application/vnd.openxmlformats-officedocument.drawingml.chart+xml" PartName="/xl/charts/chart2.xml"/>
  <Override ContentType="application/vnd.openxmlformats-officedocument.drawingml.chart+xml" PartName="/xl/charts/chart22.xml"/>
  <Override ContentType="application/vnd.openxmlformats-officedocument.drawingml.chart+xml" PartName="/xl/charts/chart34.xml"/>
  <Override ContentType="application/vnd.openxmlformats-officedocument.drawingml.chart+xml" PartName="/xl/charts/chart8.xml"/>
  <Override ContentType="application/vnd.openxmlformats-officedocument.drawingml.chart+xml" PartName="/xl/charts/chart17.xml"/>
  <Override ContentType="application/vnd.openxmlformats-officedocument.drawingml.chart+xml" PartName="/xl/charts/chart42.xml"/>
  <Override ContentType="application/vnd.openxmlformats-officedocument.drawingml.chart+xml" PartName="/xl/charts/chart25.xml"/>
  <Override ContentType="application/vnd.openxmlformats-officedocument.drawingml.chart+xml" PartName="/xl/charts/chart12.xml"/>
  <Override ContentType="application/vnd.openxmlformats-officedocument.drawingml.chart+xml" PartName="/xl/charts/chart21.xml"/>
  <Override ContentType="application/vnd.openxmlformats-officedocument.drawingml.chart+xml" PartName="/xl/charts/chart3.xml"/>
  <Override ContentType="application/vnd.openxmlformats-officedocument.drawingml.chart+xml" PartName="/xl/charts/chart38.xml"/>
  <Override ContentType="application/vnd.openxmlformats-officedocument.drawingml.chart+xml" PartName="/xl/charts/chart16.xml"/>
  <Override ContentType="application/vnd.openxmlformats-officedocument.drawingml.chart+xml" PartName="/xl/charts/chart41.xml"/>
  <Override ContentType="application/vnd.openxmlformats-officedocument.drawingml.chart+xml" PartName="/xl/charts/chart11.xml"/>
  <Override ContentType="application/vnd.openxmlformats-officedocument.drawingml.chart+xml" PartName="/xl/charts/chart46.xml"/>
  <Override ContentType="application/vnd.openxmlformats-officedocument.drawingml.chart+xml" PartName="/xl/charts/chart29.xml"/>
  <Override ContentType="application/vnd.openxmlformats-officedocument.drawingml.chart+xml" PartName="/xl/charts/chart37.xml"/>
  <Override ContentType="application/vnd.openxmlformats-officedocument.drawingml.chart+xml" PartName="/xl/charts/chart4.xml"/>
  <Override ContentType="application/vnd.openxmlformats-officedocument.drawingml.chart+xml" PartName="/xl/charts/chart20.xml"/>
  <Override ContentType="application/vnd.openxmlformats-officedocument.drawingml.chart+xml" PartName="/xl/charts/chart33.xml"/>
  <Override ContentType="application/vnd.openxmlformats-officedocument.drawingml.chart+xml" PartName="/xl/charts/chart24.xml"/>
  <Override ContentType="application/vnd.openxmlformats-officedocument.drawingml.chart+xml" PartName="/xl/charts/chart1.xml"/>
  <Override ContentType="application/vnd.openxmlformats-officedocument.drawingml.chart+xml" PartName="/xl/charts/chart28.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45.xml"/>
  <Override ContentType="application/vnd.openxmlformats-officedocument.drawingml.chart+xml" PartName="/xl/charts/chart15.xml"/>
  <Override ContentType="application/vnd.openxmlformats-officedocument.drawingml.chart+xml" PartName="/xl/charts/chart40.xml"/>
  <Override ContentType="application/vnd.openxmlformats-officedocument.drawingml.chart+xml" PartName="/xl/charts/chart9.xml"/>
  <Override ContentType="application/vnd.openxmlformats-officedocument.drawingml.chart+xml" PartName="/xl/charts/chart19.xml"/>
  <Override ContentType="application/vnd.openxmlformats-officedocument.drawingml.chart+xml" PartName="/xl/charts/chart32.xml"/>
  <Override ContentType="application/vnd.openxmlformats-officedocument.drawingml.chart+xml" PartName="/xl/charts/chart5.xml"/>
  <Override ContentType="application/vnd.openxmlformats-officedocument.drawingml.chart+xml" PartName="/xl/charts/chart23.xml"/>
  <Override ContentType="application/vnd.openxmlformats-officedocument.drawingml.chart+xml" PartName="/xl/charts/chart36.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Year" sheetId="1" r:id="rId5"/>
    <sheet state="visible" name="Emissions" sheetId="2" r:id="rId6"/>
    <sheet state="visible" name="Energy" sheetId="3" r:id="rId7"/>
    <sheet state="visible" name="htmlOutput" sheetId="4" r:id="rId8"/>
    <sheet state="visible" name="Settingsform" sheetId="5" r:id="rId9"/>
    <sheet state="visible" name="ActionForm" sheetId="6" r:id="rId10"/>
    <sheet state="visible" name="Indicators" sheetId="7" r:id="rId11"/>
    <sheet state="visible" name="ActionIndicators" sheetId="8" r:id="rId12"/>
    <sheet state="visible" name="htmlAction" sheetId="9" r:id="rId13"/>
    <sheet state="visible" name="ActionReport" sheetId="10" r:id="rId14"/>
    <sheet state="visible" name="INVReport" sheetId="11" r:id="rId15"/>
    <sheet state="visible" name="Sectors" sheetId="12" r:id="rId16"/>
    <sheet state="visible" name="Times Series" sheetId="13" r:id="rId17"/>
  </sheets>
  <definedNames/>
  <calcPr/>
</workbook>
</file>

<file path=xl/sharedStrings.xml><?xml version="1.0" encoding="utf-8"?>
<sst xmlns="http://schemas.openxmlformats.org/spreadsheetml/2006/main" count="426" uniqueCount="231">
  <si>
    <t>Submission Date</t>
  </si>
  <si>
    <t>Municipality Name</t>
  </si>
  <si>
    <t>Year</t>
  </si>
  <si>
    <t>Population</t>
  </si>
  <si>
    <t>Buildings Emissions</t>
  </si>
  <si>
    <t>Fleet Emissions</t>
  </si>
  <si>
    <t>Streetlighting Emissions</t>
  </si>
  <si>
    <t>Water Treatment Emissions</t>
  </si>
  <si>
    <t>Total Corporate Emissions</t>
  </si>
  <si>
    <t>Building Energy</t>
  </si>
  <si>
    <t>Fleet Energy</t>
  </si>
  <si>
    <t>Streetlighting Energy</t>
  </si>
  <si>
    <t>Water Treatment Energy</t>
  </si>
  <si>
    <t>Total Corporate Energy</t>
  </si>
  <si>
    <t>Submission ID</t>
  </si>
  <si>
    <t>Edit Link</t>
  </si>
  <si>
    <t>Sample</t>
  </si>
  <si>
    <t>Baseline Year</t>
  </si>
  <si>
    <t>Population Growth</t>
  </si>
  <si>
    <t>Building Emissions</t>
  </si>
  <si>
    <t>Wastewater Emissions</t>
  </si>
  <si>
    <t>Target Emissions Reduction 2030</t>
  </si>
  <si>
    <t>Target Emissions Reduction 2050</t>
  </si>
  <si>
    <t>Total Increase in Emissions 2030</t>
  </si>
  <si>
    <t>Total Increase in Emissions 2050</t>
  </si>
  <si>
    <t>Pathway Name</t>
  </si>
  <si>
    <t>Building Retrofit Participation 2030</t>
  </si>
  <si>
    <t>Building Retrofit Efficiency 2030</t>
  </si>
  <si>
    <t>Building Retrofit Participation 2030 2</t>
  </si>
  <si>
    <t>Building Retrofit Efficiency 2030 2</t>
  </si>
  <si>
    <t>Electric Vehicles Participation 2030</t>
  </si>
  <si>
    <t>Electric Vehicles Efficiency 2030</t>
  </si>
  <si>
    <t>Electric Vehicles Participation 2050</t>
  </si>
  <si>
    <t>Electric Vehicles Efficiency 2050</t>
  </si>
  <si>
    <t>BioDiesel Participation 2030</t>
  </si>
  <si>
    <t>BioDiesel Efficiency 2030</t>
  </si>
  <si>
    <t>BioDiesel Participation 2050</t>
  </si>
  <si>
    <t>BioDiesel Efficiency 2050</t>
  </si>
  <si>
    <t>Telepresence Participation 2030</t>
  </si>
  <si>
    <t>Telepresence Efficiency 2030</t>
  </si>
  <si>
    <t>Telepresence Participation 2050</t>
  </si>
  <si>
    <t>Telepresence Efficiency 2050</t>
  </si>
  <si>
    <t>LED Lighting Participation 2030</t>
  </si>
  <si>
    <t>LED Lighting Efficiency 2030</t>
  </si>
  <si>
    <t>LED Lighting Participation 2050</t>
  </si>
  <si>
    <t>LED Lighting Efficiency 2050</t>
  </si>
  <si>
    <t>Waste to Energy Participation 2030</t>
  </si>
  <si>
    <t>Waste to Energy Efficiency 2030</t>
  </si>
  <si>
    <t>Waste to Energy Participation 2050</t>
  </si>
  <si>
    <t>Waste to Energy Efficiency 2050</t>
  </si>
  <si>
    <t>Building Retrofit</t>
  </si>
  <si>
    <t>Path4</t>
  </si>
  <si>
    <t>New1</t>
  </si>
  <si>
    <t>New2</t>
  </si>
  <si>
    <t>New Pathway April</t>
  </si>
  <si>
    <t>June Demo</t>
  </si>
  <si>
    <t>BAU Increase 2030</t>
  </si>
  <si>
    <t>BAU Increase 2050</t>
  </si>
  <si>
    <t>Target Reduction 2030</t>
  </si>
  <si>
    <t>Target Reduction 2050</t>
  </si>
  <si>
    <t xml:space="preserve">Population </t>
  </si>
  <si>
    <t>BAU Total</t>
  </si>
  <si>
    <t xml:space="preserve">BAU Buildings </t>
  </si>
  <si>
    <t>BAU Fleet</t>
  </si>
  <si>
    <t>BAU Streetlighting</t>
  </si>
  <si>
    <t>BAU Wastewater</t>
  </si>
  <si>
    <t>Target Total</t>
  </si>
  <si>
    <t xml:space="preserve">Target Buildings </t>
  </si>
  <si>
    <t>Target Fleet</t>
  </si>
  <si>
    <t>Target Streetlighting</t>
  </si>
  <si>
    <t>Target Wastewater</t>
  </si>
  <si>
    <t xml:space="preserve">Action Total </t>
  </si>
  <si>
    <t>Action Buildings</t>
  </si>
  <si>
    <t xml:space="preserve">Action Fleet </t>
  </si>
  <si>
    <t>Action Streetlighting</t>
  </si>
  <si>
    <t>Action Wastewater</t>
  </si>
  <si>
    <t>Strategy</t>
  </si>
  <si>
    <t>Participation</t>
  </si>
  <si>
    <t>Efficiency 2030</t>
  </si>
  <si>
    <t>2030 Abatement</t>
  </si>
  <si>
    <t>Post Action</t>
  </si>
  <si>
    <t>Participation 2050</t>
  </si>
  <si>
    <t>Efficacy 2050</t>
  </si>
  <si>
    <t>2050 Abatement</t>
  </si>
  <si>
    <t>2050 Post Action</t>
  </si>
  <si>
    <t>https://www.jotform.com/edit/</t>
  </si>
  <si>
    <t>Building Retrofits</t>
  </si>
  <si>
    <t>Electric Vehciles</t>
  </si>
  <si>
    <t>BioDiesel</t>
  </si>
  <si>
    <t>Telepresence</t>
  </si>
  <si>
    <t>LED</t>
  </si>
  <si>
    <t>Waste to Energy</t>
  </si>
  <si>
    <t>Corporate Action Plan Modeling</t>
  </si>
  <si>
    <t>Action Plan Name:</t>
  </si>
  <si>
    <t>Emissions Savings 2030</t>
  </si>
  <si>
    <t>Emissions Savings 2050</t>
  </si>
  <si>
    <t>Carbon Cost Savings 2030</t>
  </si>
  <si>
    <t>TCO2e</t>
  </si>
  <si>
    <t>2030 Emissions</t>
  </si>
  <si>
    <t>2050 Emissions</t>
  </si>
  <si>
    <t>Business As Usual</t>
  </si>
  <si>
    <t>Action Plan</t>
  </si>
  <si>
    <t>Target</t>
  </si>
  <si>
    <t>Total</t>
  </si>
  <si>
    <t>Builiding</t>
  </si>
  <si>
    <t xml:space="preserve">Fleet </t>
  </si>
  <si>
    <t>Streetlighting</t>
  </si>
  <si>
    <t>Water</t>
  </si>
  <si>
    <t xml:space="preserve">Edit Link </t>
  </si>
  <si>
    <t>Edit</t>
  </si>
  <si>
    <t>The City of Sample</t>
  </si>
  <si>
    <t>Corporate Action Plan Explorer</t>
  </si>
  <si>
    <t>About this tool</t>
  </si>
  <si>
    <t xml:space="preserve">The Climate Neutral Pathway Explorer allows for municipalities to quickly and easily analyze different future emissions scenarios based on variable baseline emissions settings, emissions reduction targets, business-as-usual scenarios and climate actions. Mitigation strategies are applied to the baseline emissions scenario to determine future emissions savings, carbon cost savings, as well as progress to mitigation goals. </t>
  </si>
  <si>
    <t>Corporate Action Plan Modeling Results</t>
  </si>
  <si>
    <t xml:space="preserve">Date </t>
  </si>
  <si>
    <t>Pathway name</t>
  </si>
  <si>
    <t>Baseline Settings</t>
  </si>
  <si>
    <t>Baseline Emissions</t>
  </si>
  <si>
    <t xml:space="preserve">Baseline Year </t>
  </si>
  <si>
    <t>Buildings</t>
  </si>
  <si>
    <t>Emissions Reduction Target 2030</t>
  </si>
  <si>
    <t>Fleet</t>
  </si>
  <si>
    <t>Emissions Reduction Target 2050</t>
  </si>
  <si>
    <t>Business as usual increase 2030</t>
  </si>
  <si>
    <t>Wastewater</t>
  </si>
  <si>
    <t>Business as usual increase 2050</t>
  </si>
  <si>
    <t>2030 Results</t>
  </si>
  <si>
    <t>Efficacy</t>
  </si>
  <si>
    <t>Abatement 
TC02e/Capita</t>
  </si>
  <si>
    <t>Total Savings</t>
  </si>
  <si>
    <t>Target Abatement</t>
  </si>
  <si>
    <t>Progress to Target</t>
  </si>
  <si>
    <t>2050 Results</t>
  </si>
  <si>
    <t>Strategy Descriptions and Discussion</t>
  </si>
  <si>
    <t>Building Sector</t>
  </si>
  <si>
    <t>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</si>
  <si>
    <t>Fleet Sector</t>
  </si>
  <si>
    <t>Electric Vehicles</t>
  </si>
  <si>
    <t>Teleprescence</t>
  </si>
  <si>
    <t>Streetlighting Sector</t>
  </si>
  <si>
    <t>Wastewater Sector</t>
  </si>
  <si>
    <t>Total Corporate Emissions:</t>
  </si>
  <si>
    <t>Emissions Per Capita:</t>
  </si>
  <si>
    <t>2030 Progress:</t>
  </si>
  <si>
    <t>2050 Progress:</t>
  </si>
  <si>
    <t>TC02e</t>
  </si>
  <si>
    <t>Corporate Emissions (TCO2e)</t>
  </si>
  <si>
    <t>Building</t>
  </si>
  <si>
    <t>BAU</t>
  </si>
  <si>
    <t xml:space="preserve">Corporate Inventory </t>
  </si>
  <si>
    <t>Total Emissions TCO2e</t>
  </si>
  <si>
    <t>Total Energy 
GJ</t>
  </si>
  <si>
    <t>Corporate Emissions and Energy Inventory Data Report</t>
  </si>
  <si>
    <t>Table 1 - Results summary of emissions inventory</t>
  </si>
  <si>
    <t>Total Emissions 2021</t>
  </si>
  <si>
    <t>tCO2e</t>
  </si>
  <si>
    <t>2005 Baseline Emissions</t>
  </si>
  <si>
    <t>2030 Target Emission</t>
  </si>
  <si>
    <t>%</t>
  </si>
  <si>
    <t>Table 2 - Results summary of energy inventory</t>
  </si>
  <si>
    <t>Total Energy 2021</t>
  </si>
  <si>
    <t>GJ</t>
  </si>
  <si>
    <t>Baseline Energy</t>
  </si>
  <si>
    <t>2030 Target Energy</t>
  </si>
  <si>
    <t xml:space="preserve">Figure X - Lorem ipsum dolor sit amet, consectetur adipiscing elit,  </t>
  </si>
  <si>
    <t>Sector</t>
  </si>
  <si>
    <t>Emissions</t>
  </si>
  <si>
    <t>post Action</t>
  </si>
  <si>
    <t>Abatement TC02e/Capita</t>
  </si>
  <si>
    <t>2030 Savings TC02e</t>
  </si>
  <si>
    <t>2050 Savings TC02e</t>
  </si>
  <si>
    <t>BAU Buildings</t>
  </si>
  <si>
    <t>BAU Lighting</t>
  </si>
  <si>
    <t>Target Buildings</t>
  </si>
  <si>
    <t>Target Lighting</t>
  </si>
  <si>
    <t>Action Total</t>
  </si>
  <si>
    <t>Action Fleet</t>
  </si>
  <si>
    <t>Action Lighting</t>
  </si>
  <si>
    <t>Action Savings Total</t>
  </si>
  <si>
    <t>Action Savings Building</t>
  </si>
  <si>
    <t>Action Savings Fleet</t>
  </si>
  <si>
    <t>Action Savings Lighting</t>
  </si>
  <si>
    <t>Action Savings Wastewater</t>
  </si>
  <si>
    <t>BAU Gross Total</t>
  </si>
  <si>
    <t>Target Gross Total</t>
  </si>
  <si>
    <t>Action Gross Total</t>
  </si>
  <si>
    <t>Target Gross Savings</t>
  </si>
  <si>
    <t>Action Gross Savings</t>
  </si>
  <si>
    <t>% Target</t>
  </si>
  <si>
    <t>2030 Emission Savings</t>
  </si>
  <si>
    <t>2050 Emissions Savings</t>
  </si>
  <si>
    <t>Cumulative Carbon Cost Savings 2030</t>
  </si>
  <si>
    <t>Carbon Cost</t>
  </si>
  <si>
    <t>Emissions Savings</t>
  </si>
  <si>
    <t>Cost Savings</t>
  </si>
  <si>
    <t>2030 Savings</t>
  </si>
  <si>
    <t>2050 Savings</t>
  </si>
  <si>
    <t>Carbon Cost Savings</t>
  </si>
  <si>
    <t>Cum Cost Savings</t>
  </si>
  <si>
    <t>Progress 2030</t>
  </si>
  <si>
    <t>Progress 2050</t>
  </si>
  <si>
    <t xml:space="preserve"> Corporate Emissions and Energy Inventory</t>
  </si>
  <si>
    <t>Total Emissions</t>
  </si>
  <si>
    <t xml:space="preserve">Total Energy </t>
  </si>
  <si>
    <t>Inventory Year</t>
  </si>
  <si>
    <t>Emissions Per Sector 2021</t>
  </si>
  <si>
    <t>Target Emissions</t>
  </si>
  <si>
    <t>Target Energy</t>
  </si>
  <si>
    <t>Target Year</t>
  </si>
  <si>
    <t>Progress to Emissions Target</t>
  </si>
  <si>
    <t>Progress to Energy Target</t>
  </si>
  <si>
    <t>Years to Target</t>
  </si>
  <si>
    <t>Carbon Cost Expenditure</t>
  </si>
  <si>
    <t>Total Corporate Emissions 2005 - 2021</t>
  </si>
  <si>
    <t>Historic Emissions and Energy Reference</t>
  </si>
  <si>
    <t>Baseline</t>
  </si>
  <si>
    <t>Inventory 2021</t>
  </si>
  <si>
    <t>Target 2030</t>
  </si>
  <si>
    <t>Energy</t>
  </si>
  <si>
    <t>Emission</t>
  </si>
  <si>
    <t xml:space="preserve">Building </t>
  </si>
  <si>
    <t>Comparison of Inventory Year to Baseline and Previous Year</t>
  </si>
  <si>
    <t>Change Previous Year*</t>
  </si>
  <si>
    <t xml:space="preserve">Emissions </t>
  </si>
  <si>
    <t>*negative numbers indicate a decrease in emissions or energy</t>
  </si>
  <si>
    <t>** Postive numbers are good</t>
  </si>
  <si>
    <t>Total Corporate Energy 2005 - 2021</t>
  </si>
  <si>
    <t>Emissions Database</t>
  </si>
  <si>
    <t>Energy Per Sector 2021</t>
  </si>
  <si>
    <t>Energy Database</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</si>
</sst>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yyyy-mm-dd h:mm:ss"/>
    <numFmt numFmtId="165" formatCode="0.0000"/>
    <numFmt numFmtId="166" formatCode="&quot;$&quot;#,##0"/>
    <numFmt numFmtId="167" formatCode="0.00000"/>
  </numFmts>
  <fonts count="43">
    <font>
      <sz val="10.0"/>
      <color rgb="FF000000"/>
      <name val="Roboto"/>
      <scheme val="minor"/>
    </font>
    <font>
      <b/>
      <sz val="11.0"/>
      <color theme="1"/>
      <name val="Roboto"/>
      <scheme val="minor"/>
    </font>
    <font>
      <color theme="1"/>
      <name val="Roboto"/>
      <scheme val="minor"/>
    </font>
    <font>
      <u/>
      <color rgb="FF0000FF"/>
    </font>
    <font>
      <color theme="0"/>
      <name val="Roboto"/>
      <scheme val="minor"/>
    </font>
    <font>
      <sz val="11.0"/>
      <color rgb="FF000000"/>
      <name val="Inconsolata"/>
    </font>
    <font>
      <u/>
      <sz val="11.0"/>
      <color rgb="FF000000"/>
      <name val="Inconsolata"/>
    </font>
    <font>
      <sz val="11.0"/>
      <color rgb="FF1155CC"/>
      <name val="Inconsolata"/>
    </font>
    <font>
      <sz val="11.0"/>
      <color rgb="FF7E3794"/>
      <name val="Inconsolata"/>
    </font>
    <font>
      <sz val="11.0"/>
      <color rgb="FF11A9CC"/>
      <name val="Inconsolata"/>
    </font>
    <font>
      <sz val="24.0"/>
      <color rgb="FFFFFFFF"/>
      <name val="Roboto"/>
      <scheme val="minor"/>
    </font>
    <font>
      <u/>
      <sz val="18.0"/>
      <color theme="0"/>
      <name val="Roboto"/>
      <scheme val="minor"/>
    </font>
    <font>
      <sz val="16.0"/>
      <color theme="1"/>
      <name val="Roboto"/>
      <scheme val="minor"/>
    </font>
    <font>
      <u/>
      <sz val="16.0"/>
      <color rgb="FF1155CC"/>
      <name val="Roboto"/>
      <scheme val="minor"/>
    </font>
    <font>
      <u/>
      <sz val="16.0"/>
      <color rgb="FF1155CC"/>
      <name val="Roboto"/>
      <scheme val="minor"/>
    </font>
    <font>
      <u/>
      <sz val="16.0"/>
      <color rgb="FF1155CC"/>
    </font>
    <font>
      <sz val="14.0"/>
      <color theme="0"/>
      <name val="Roboto"/>
      <scheme val="minor"/>
    </font>
    <font>
      <sz val="14.0"/>
      <color rgb="FFFFFFFF"/>
      <name val="Roboto"/>
      <scheme val="minor"/>
    </font>
    <font>
      <sz val="18.0"/>
      <color theme="0"/>
      <name val="Roboto"/>
      <scheme val="minor"/>
    </font>
    <font>
      <sz val="14.0"/>
      <color theme="1"/>
      <name val="Roboto"/>
      <scheme val="minor"/>
    </font>
    <font>
      <u/>
      <color rgb="FF0000FF"/>
    </font>
    <font>
      <color theme="1"/>
      <name val="Roboto"/>
    </font>
    <font>
      <b/>
      <sz val="14.0"/>
      <color theme="1"/>
      <name val="Roboto"/>
    </font>
    <font>
      <b/>
      <sz val="18.0"/>
      <color theme="1"/>
      <name val="Roboto"/>
    </font>
    <font>
      <b/>
      <color theme="1"/>
      <name val="Roboto"/>
    </font>
    <font>
      <sz val="18.0"/>
      <color theme="1"/>
      <name val="Roboto"/>
      <scheme val="minor"/>
    </font>
    <font>
      <b/>
      <sz val="14.0"/>
      <color theme="1"/>
      <name val="Roboto"/>
      <scheme val="minor"/>
    </font>
    <font>
      <b/>
      <sz val="12.0"/>
      <color theme="1"/>
      <name val="Roboto"/>
      <scheme val="minor"/>
    </font>
    <font>
      <b/>
      <color theme="1"/>
      <name val="Roboto"/>
      <scheme val="minor"/>
    </font>
    <font>
      <sz val="18.0"/>
      <color rgb="FF000000"/>
      <name val="Roboto"/>
      <scheme val="minor"/>
    </font>
    <font>
      <sz val="10.0"/>
      <color theme="1"/>
      <name val="Roboto"/>
      <scheme val="minor"/>
    </font>
    <font>
      <sz val="12.0"/>
      <color theme="1"/>
      <name val="Roboto"/>
      <scheme val="minor"/>
    </font>
    <font>
      <sz val="12.0"/>
      <color rgb="FF000000"/>
      <name val="Roboto"/>
      <scheme val="minor"/>
    </font>
    <font>
      <sz val="11.0"/>
      <color rgb="FF000000"/>
      <name val="Roboto"/>
      <scheme val="minor"/>
    </font>
    <font/>
    <font>
      <u/>
      <color rgb="FF0000FF"/>
    </font>
    <font>
      <u/>
      <color rgb="FF0000FF"/>
    </font>
    <font>
      <b/>
      <sz val="14.0"/>
      <color rgb="FFFFFFFF"/>
      <name val="Roboto"/>
      <scheme val="minor"/>
    </font>
    <font>
      <sz val="24.0"/>
      <color theme="0"/>
      <name val="Roboto"/>
      <scheme val="minor"/>
    </font>
    <font>
      <sz val="14.0"/>
      <color rgb="FF000000"/>
      <name val="Roboto"/>
      <scheme val="minor"/>
    </font>
    <font>
      <u/>
      <sz val="14.0"/>
      <color theme="4"/>
    </font>
    <font>
      <sz val="12.0"/>
      <color theme="0"/>
      <name val="Roboto"/>
      <scheme val="minor"/>
    </font>
    <font>
      <sz val="11.0"/>
      <color rgb="FFF7981D"/>
      <name val="Inconsolata"/>
    </font>
  </fonts>
  <fills count="21">
    <fill>
      <patternFill patternType="none"/>
    </fill>
    <fill>
      <patternFill patternType="lightGray"/>
    </fill>
    <fill>
      <patternFill patternType="solid">
        <fgColor rgb="FFCCFFCC"/>
        <bgColor rgb="FFCCFFCC"/>
      </patternFill>
    </fill>
    <fill>
      <patternFill patternType="solid">
        <fgColor theme="8"/>
        <bgColor theme="8"/>
      </patternFill>
    </fill>
    <fill>
      <patternFill patternType="solid">
        <fgColor theme="9"/>
        <bgColor theme="9"/>
      </patternFill>
    </fill>
    <fill>
      <patternFill patternType="solid">
        <fgColor rgb="FF98D3ED"/>
        <bgColor rgb="FF98D3ED"/>
      </patternFill>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rgb="FFFF0000"/>
        <bgColor rgb="FFFF0000"/>
      </patternFill>
    </fill>
    <fill>
      <patternFill patternType="solid">
        <fgColor theme="5"/>
        <bgColor theme="5"/>
      </patternFill>
    </fill>
    <fill>
      <patternFill patternType="solid">
        <fgColor rgb="FFCFE2F3"/>
        <bgColor rgb="FFCFE2F3"/>
      </patternFill>
    </fill>
    <fill>
      <patternFill patternType="solid">
        <fgColor rgb="FFF3F3F3"/>
        <bgColor rgb="FFF3F3F3"/>
      </patternFill>
    </fill>
    <fill>
      <patternFill patternType="solid">
        <fgColor rgb="FF274766"/>
        <bgColor rgb="FF274766"/>
      </patternFill>
    </fill>
    <fill>
      <patternFill patternType="solid">
        <fgColor theme="4"/>
        <bgColor theme="4"/>
      </patternFill>
    </fill>
    <fill>
      <patternFill patternType="solid">
        <fgColor rgb="FFEAD1DC"/>
        <bgColor rgb="FFEAD1DC"/>
      </patternFill>
    </fill>
    <fill>
      <patternFill patternType="solid">
        <fgColor rgb="FFD9EAD3"/>
        <bgColor rgb="FFD9EAD3"/>
      </patternFill>
    </fill>
    <fill>
      <patternFill patternType="solid">
        <fgColor rgb="FF6AA84F"/>
        <bgColor rgb="FF6AA84F"/>
      </patternFill>
    </fill>
    <fill>
      <patternFill patternType="solid">
        <fgColor rgb="FFF6B26B"/>
        <bgColor rgb="FFF6B26B"/>
      </patternFill>
    </fill>
    <fill>
      <patternFill patternType="solid">
        <fgColor rgb="FFF9CB9C"/>
        <bgColor rgb="FFF9CB9C"/>
      </patternFill>
    </fill>
    <fill>
      <patternFill patternType="solid">
        <fgColor rgb="FFF4CCCC"/>
        <bgColor rgb="FFF4CCCC"/>
      </patternFill>
    </fill>
  </fills>
  <borders count="14">
    <border/>
    <border>
      <right style="thin">
        <color rgb="FF000000"/>
      </right>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right style="thin">
        <color rgb="FF000000"/>
      </right>
    </border>
    <border>
      <right style="thin">
        <color rgb="FFCCCCCC"/>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187">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0" fillId="0" fontId="2" numFmtId="164" xfId="0" applyAlignment="1" applyFont="1" applyNumberFormat="1">
      <alignment readingOrder="0"/>
    </xf>
    <xf borderId="0" fillId="0" fontId="2" numFmtId="0" xfId="0" applyAlignment="1" applyFont="1">
      <alignment readingOrder="0"/>
    </xf>
    <xf borderId="0" fillId="0" fontId="2" numFmtId="0" xfId="0" applyFont="1"/>
    <xf borderId="0" fillId="0" fontId="3" numFmtId="0" xfId="0" applyFont="1"/>
    <xf borderId="0" fillId="3" fontId="4" numFmtId="0" xfId="0" applyAlignment="1" applyFill="1" applyFont="1">
      <alignment readingOrder="0"/>
    </xf>
    <xf borderId="0" fillId="4" fontId="2" numFmtId="0" xfId="0" applyAlignment="1" applyFill="1" applyFont="1">
      <alignment readingOrder="0"/>
    </xf>
    <xf borderId="0" fillId="5" fontId="2" numFmtId="0" xfId="0" applyAlignment="1" applyFill="1" applyFont="1">
      <alignment readingOrder="0"/>
    </xf>
    <xf borderId="0" fillId="3" fontId="4" numFmtId="165" xfId="0" applyFill="1" applyFont="1" applyNumberFormat="1"/>
    <xf borderId="0" fillId="4" fontId="2" numFmtId="165" xfId="0" applyFill="1" applyFont="1" applyNumberFormat="1"/>
    <xf borderId="0" fillId="5" fontId="2" numFmtId="165" xfId="0" applyFill="1" applyFont="1" applyNumberFormat="1"/>
    <xf borderId="0" fillId="6" fontId="5" numFmtId="1" xfId="0" applyFill="1" applyFont="1" applyNumberFormat="1"/>
    <xf borderId="0" fillId="0" fontId="6" numFmtId="0" xfId="0" applyAlignment="1" applyFont="1">
      <alignment readingOrder="0"/>
    </xf>
    <xf borderId="0" fillId="6" fontId="7" numFmtId="0" xfId="0" applyFill="1" applyFont="1"/>
    <xf borderId="0" fillId="7" fontId="2" numFmtId="165" xfId="0" applyFill="1" applyFont="1" applyNumberFormat="1"/>
    <xf borderId="0" fillId="6" fontId="8" numFmtId="165" xfId="0" applyFill="1" applyFont="1" applyNumberFormat="1"/>
    <xf borderId="0" fillId="8" fontId="2" numFmtId="165" xfId="0" applyFill="1" applyFont="1" applyNumberFormat="1"/>
    <xf borderId="0" fillId="0" fontId="2" numFmtId="165" xfId="0" applyFont="1" applyNumberFormat="1"/>
    <xf borderId="0" fillId="6" fontId="9" numFmtId="0" xfId="0" applyFill="1" applyFont="1"/>
    <xf borderId="0" fillId="9" fontId="2" numFmtId="165" xfId="0" applyFill="1" applyFont="1" applyNumberFormat="1"/>
    <xf borderId="0" fillId="10" fontId="10" numFmtId="0" xfId="0" applyAlignment="1" applyFill="1" applyFont="1">
      <alignment readingOrder="0" vertical="center"/>
    </xf>
    <xf borderId="0" fillId="10" fontId="2" numFmtId="0" xfId="0" applyFill="1" applyFont="1"/>
    <xf borderId="0" fillId="10" fontId="11" numFmtId="0" xfId="0" applyAlignment="1" applyFill="1" applyFont="1">
      <alignment horizontal="right" readingOrder="0" vertical="center"/>
    </xf>
    <xf borderId="0" fillId="10" fontId="2" numFmtId="0" xfId="0" applyAlignment="1" applyFill="1" applyFont="1">
      <alignment horizontal="center" vertical="center"/>
    </xf>
    <xf borderId="0" fillId="8" fontId="12" numFmtId="0" xfId="0" applyAlignment="1" applyFill="1" applyFont="1">
      <alignment readingOrder="0" vertical="center"/>
    </xf>
    <xf borderId="0" fillId="8" fontId="12" numFmtId="0" xfId="0" applyAlignment="1" applyFill="1" applyFont="1">
      <alignment vertical="center"/>
    </xf>
    <xf borderId="0" fillId="0" fontId="13" numFmtId="0" xfId="0" applyAlignment="1" applyFont="1">
      <alignment horizontal="center" readingOrder="0" vertical="center"/>
    </xf>
    <xf borderId="0" fillId="0" fontId="14" numFmtId="0" xfId="0" applyAlignment="1" applyFont="1">
      <alignment horizontal="right" readingOrder="0" vertical="center"/>
    </xf>
    <xf borderId="0" fillId="0" fontId="15" numFmtId="0" xfId="0" applyAlignment="1" applyFont="1">
      <alignment horizontal="center" readingOrder="0" vertical="center"/>
    </xf>
    <xf borderId="0" fillId="0" fontId="4" numFmtId="0" xfId="0" applyFont="1"/>
    <xf borderId="0" fillId="10" fontId="16" numFmtId="0" xfId="0" applyAlignment="1" applyFill="1" applyFont="1">
      <alignment readingOrder="0"/>
    </xf>
    <xf borderId="0" fillId="10" fontId="16" numFmtId="0" xfId="0" applyFill="1" applyFont="1"/>
    <xf borderId="0" fillId="10" fontId="17" numFmtId="0" xfId="0" applyAlignment="1" applyFill="1" applyFont="1">
      <alignment readingOrder="0"/>
    </xf>
    <xf borderId="0" fillId="10" fontId="4" numFmtId="0" xfId="0" applyFill="1" applyFont="1"/>
    <xf borderId="0" fillId="10" fontId="17" numFmtId="0" xfId="0" applyAlignment="1" applyFill="1" applyFont="1">
      <alignment horizontal="right" readingOrder="0"/>
    </xf>
    <xf borderId="0" fillId="10" fontId="18" numFmtId="1" xfId="0" applyAlignment="1" applyFill="1" applyFont="1" applyNumberFormat="1">
      <alignment horizontal="left"/>
    </xf>
    <xf borderId="0" fillId="10" fontId="4" numFmtId="0" xfId="0" applyAlignment="1" applyFill="1" applyFont="1">
      <alignment readingOrder="0"/>
    </xf>
    <xf borderId="0" fillId="10" fontId="18" numFmtId="166" xfId="0" applyAlignment="1" applyFill="1" applyFont="1" applyNumberFormat="1">
      <alignment horizontal="left"/>
    </xf>
    <xf borderId="0" fillId="6" fontId="2" numFmtId="0" xfId="0" applyFill="1" applyFont="1"/>
    <xf borderId="0" fillId="0" fontId="2" numFmtId="0" xfId="0" applyAlignment="1" applyFont="1">
      <alignment horizontal="right" readingOrder="0"/>
    </xf>
    <xf borderId="0" fillId="0" fontId="19" numFmtId="0" xfId="0" applyAlignment="1" applyFont="1">
      <alignment readingOrder="0"/>
    </xf>
    <xf borderId="0" fillId="0" fontId="2" numFmtId="1" xfId="0" applyFont="1" applyNumberFormat="1"/>
    <xf borderId="0" fillId="0" fontId="2" numFmtId="10" xfId="0" applyFont="1" applyNumberFormat="1"/>
    <xf borderId="0" fillId="6" fontId="9" numFmtId="1" xfId="0" applyFill="1" applyFont="1" applyNumberFormat="1"/>
    <xf borderId="0" fillId="0" fontId="20" numFmtId="0" xfId="0" applyAlignment="1" applyFont="1">
      <alignment horizontal="right"/>
    </xf>
    <xf borderId="0" fillId="0" fontId="21" numFmtId="0" xfId="0" applyAlignment="1" applyFont="1">
      <alignment vertical="bottom"/>
    </xf>
    <xf borderId="0" fillId="0" fontId="22" numFmtId="0" xfId="0" applyAlignment="1" applyFont="1">
      <alignment horizontal="right" vertical="bottom"/>
    </xf>
    <xf borderId="0" fillId="0" fontId="23" numFmtId="0" xfId="0" applyAlignment="1" applyFont="1">
      <alignment readingOrder="0" vertical="bottom"/>
    </xf>
    <xf borderId="0" fillId="0" fontId="24" numFmtId="0" xfId="0" applyAlignment="1" applyFont="1">
      <alignment vertical="bottom"/>
    </xf>
    <xf borderId="0" fillId="0" fontId="21" numFmtId="0" xfId="0" applyAlignment="1" applyFont="1">
      <alignment shrinkToFit="0" vertical="bottom" wrapText="1"/>
    </xf>
    <xf borderId="0" fillId="0" fontId="25" numFmtId="0" xfId="0" applyAlignment="1" applyFont="1">
      <alignment readingOrder="0"/>
    </xf>
    <xf borderId="0" fillId="0" fontId="2" numFmtId="14" xfId="0" applyFont="1" applyNumberFormat="1"/>
    <xf borderId="0" fillId="0" fontId="26" numFmtId="0" xfId="0" applyAlignment="1" applyFont="1">
      <alignment readingOrder="0"/>
    </xf>
    <xf borderId="0" fillId="0" fontId="27" numFmtId="0" xfId="0" applyAlignment="1" applyFont="1">
      <alignment readingOrder="0"/>
    </xf>
    <xf borderId="0" fillId="0" fontId="28" numFmtId="0" xfId="0" applyAlignment="1" applyFont="1">
      <alignment horizontal="center" readingOrder="0"/>
    </xf>
    <xf borderId="0" fillId="0" fontId="2" numFmtId="0" xfId="0" applyAlignment="1" applyFont="1">
      <alignment horizontal="center"/>
    </xf>
    <xf borderId="0" fillId="0" fontId="27" numFmtId="0" xfId="0" applyFont="1"/>
    <xf borderId="0" fillId="0" fontId="27" numFmtId="0" xfId="0" applyAlignment="1" applyFont="1">
      <alignment horizontal="center" readingOrder="0"/>
    </xf>
    <xf borderId="0" fillId="0" fontId="2" numFmtId="167" xfId="0" applyFont="1" applyNumberFormat="1"/>
    <xf borderId="0" fillId="0" fontId="2" numFmtId="9" xfId="0" applyFont="1" applyNumberFormat="1"/>
    <xf borderId="0" fillId="0" fontId="27" numFmtId="0" xfId="0" applyAlignment="1" applyFont="1">
      <alignment horizontal="center"/>
    </xf>
    <xf borderId="0" fillId="0" fontId="28" numFmtId="0" xfId="0" applyAlignment="1" applyFont="1">
      <alignment readingOrder="0"/>
    </xf>
    <xf borderId="0" fillId="0" fontId="2" numFmtId="0" xfId="0" applyAlignment="1" applyFont="1">
      <alignment readingOrder="0" shrinkToFit="0" wrapText="1"/>
    </xf>
    <xf borderId="0" fillId="0" fontId="2" numFmtId="0" xfId="0" applyAlignment="1" applyFont="1">
      <alignment readingOrder="0" shrinkToFit="0" wrapText="1"/>
    </xf>
    <xf borderId="0" fillId="5" fontId="26" numFmtId="0" xfId="0" applyAlignment="1" applyFill="1" applyFont="1">
      <alignment readingOrder="0"/>
    </xf>
    <xf borderId="0" fillId="5" fontId="26" numFmtId="0" xfId="0" applyAlignment="1" applyFill="1" applyFont="1">
      <alignment horizontal="left" readingOrder="0"/>
    </xf>
    <xf borderId="0" fillId="5" fontId="2" numFmtId="0" xfId="0" applyFill="1" applyFont="1"/>
    <xf borderId="0" fillId="5" fontId="2" numFmtId="0" xfId="0" applyAlignment="1" applyFill="1" applyFont="1">
      <alignment horizontal="center"/>
    </xf>
    <xf borderId="0" fillId="11" fontId="2" numFmtId="0" xfId="0" applyFill="1" applyFont="1"/>
    <xf borderId="0" fillId="5" fontId="29" numFmtId="0" xfId="0" applyAlignment="1" applyFill="1" applyFont="1">
      <alignment horizontal="left"/>
    </xf>
    <xf borderId="0" fillId="5" fontId="2" numFmtId="0" xfId="0" applyAlignment="1" applyFill="1" applyFont="1">
      <alignment readingOrder="0" vertical="center"/>
    </xf>
    <xf borderId="0" fillId="5" fontId="25" numFmtId="0" xfId="0" applyAlignment="1" applyFill="1" applyFont="1">
      <alignment horizontal="left" readingOrder="0"/>
    </xf>
    <xf borderId="0" fillId="5" fontId="30" numFmtId="0" xfId="0" applyAlignment="1" applyFill="1" applyFont="1">
      <alignment horizontal="left" readingOrder="0" vertical="center"/>
    </xf>
    <xf borderId="0" fillId="5" fontId="25" numFmtId="9" xfId="0" applyAlignment="1" applyFill="1" applyFont="1" applyNumberFormat="1">
      <alignment horizontal="left" readingOrder="0"/>
    </xf>
    <xf borderId="0" fillId="5" fontId="26" numFmtId="0" xfId="0" applyAlignment="1" applyFill="1" applyFont="1">
      <alignment horizontal="center" readingOrder="0" vertical="top"/>
    </xf>
    <xf borderId="0" fillId="5" fontId="26" numFmtId="0" xfId="0" applyAlignment="1" applyFill="1" applyFont="1">
      <alignment horizontal="center" readingOrder="0" shrinkToFit="0" vertical="top" wrapText="1"/>
    </xf>
    <xf borderId="0" fillId="0" fontId="31" numFmtId="0" xfId="0" applyAlignment="1" applyFont="1">
      <alignment horizontal="center"/>
    </xf>
    <xf borderId="0" fillId="6" fontId="32" numFmtId="0" xfId="0" applyAlignment="1" applyFill="1" applyFont="1">
      <alignment horizontal="center"/>
    </xf>
    <xf borderId="0" fillId="6" fontId="33" numFmtId="1" xfId="0" applyAlignment="1" applyFill="1" applyFont="1" applyNumberFormat="1">
      <alignment horizontal="center"/>
    </xf>
    <xf borderId="0" fillId="0" fontId="2" numFmtId="0" xfId="0" applyAlignment="1" applyFont="1">
      <alignment horizontal="right"/>
    </xf>
    <xf borderId="0" fillId="0" fontId="31" numFmtId="1" xfId="0" applyAlignment="1" applyFont="1" applyNumberFormat="1">
      <alignment horizontal="center"/>
    </xf>
    <xf borderId="0" fillId="0" fontId="2" numFmtId="1" xfId="0" applyAlignment="1" applyFont="1" applyNumberFormat="1">
      <alignment horizontal="right"/>
    </xf>
    <xf borderId="2" fillId="12" fontId="25" numFmtId="0" xfId="0" applyAlignment="1" applyBorder="1" applyFill="1" applyFont="1">
      <alignment horizontal="center" readingOrder="0"/>
    </xf>
    <xf borderId="3" fillId="0" fontId="34" numFmtId="0" xfId="0" applyBorder="1" applyFont="1"/>
    <xf borderId="4" fillId="0" fontId="34" numFmtId="0" xfId="0" applyBorder="1" applyFont="1"/>
    <xf borderId="5" fillId="12" fontId="19" numFmtId="0" xfId="0" applyAlignment="1" applyBorder="1" applyFill="1" applyFont="1">
      <alignment horizontal="center" readingOrder="0"/>
    </xf>
    <xf borderId="6" fillId="12" fontId="19" numFmtId="0" xfId="0" applyAlignment="1" applyBorder="1" applyFill="1" applyFont="1">
      <alignment horizontal="center" readingOrder="0" shrinkToFit="0" wrapText="1"/>
    </xf>
    <xf borderId="6" fillId="12" fontId="19" numFmtId="0" xfId="0" applyAlignment="1" applyBorder="1" applyFill="1" applyFont="1">
      <alignment horizontal="center" readingOrder="0"/>
    </xf>
    <xf borderId="7" fillId="12" fontId="19" numFmtId="0" xfId="0" applyAlignment="1" applyBorder="1" applyFill="1" applyFont="1">
      <alignment horizontal="center" readingOrder="0"/>
    </xf>
    <xf borderId="8" fillId="0" fontId="2" numFmtId="0" xfId="0" applyAlignment="1" applyBorder="1" applyFont="1">
      <alignment horizontal="center"/>
    </xf>
    <xf borderId="9" fillId="0" fontId="35" numFmtId="0" xfId="0" applyAlignment="1" applyBorder="1" applyFont="1">
      <alignment horizontal="center"/>
    </xf>
    <xf borderId="5" fillId="0" fontId="2" numFmtId="0" xfId="0" applyAlignment="1" applyBorder="1" applyFont="1">
      <alignment horizontal="center"/>
    </xf>
    <xf borderId="6" fillId="0" fontId="2" numFmtId="0" xfId="0" applyAlignment="1" applyBorder="1" applyFont="1">
      <alignment horizontal="center"/>
    </xf>
    <xf borderId="7" fillId="0" fontId="36" numFmtId="0" xfId="0" applyAlignment="1" applyBorder="1" applyFont="1">
      <alignment horizontal="center"/>
    </xf>
    <xf borderId="0" fillId="0" fontId="26" numFmtId="0" xfId="0" applyAlignment="1" applyFont="1">
      <alignment horizontal="right" readingOrder="0" vertical="center"/>
    </xf>
    <xf borderId="0" fillId="6" fontId="5" numFmtId="0" xfId="0" applyFill="1" applyFont="1"/>
    <xf borderId="0" fillId="6" fontId="21" numFmtId="0" xfId="0" applyAlignment="1" applyFill="1" applyFont="1">
      <alignment vertical="bottom"/>
    </xf>
    <xf borderId="0" fillId="6" fontId="2" numFmtId="0" xfId="0" applyAlignment="1" applyFill="1" applyFont="1">
      <alignment vertical="bottom"/>
    </xf>
    <xf borderId="0" fillId="13" fontId="37" numFmtId="0" xfId="0" applyAlignment="1" applyFill="1" applyFont="1">
      <alignment horizontal="center" vertical="bottom"/>
    </xf>
    <xf borderId="0" fillId="14" fontId="37" numFmtId="0" xfId="0" applyAlignment="1" applyFill="1" applyFont="1">
      <alignment horizontal="center" vertical="bottom"/>
    </xf>
    <xf borderId="0" fillId="6" fontId="26" numFmtId="0" xfId="0" applyAlignment="1" applyFill="1" applyFont="1">
      <alignment vertical="bottom"/>
    </xf>
    <xf borderId="0" fillId="13" fontId="17" numFmtId="0" xfId="0" applyAlignment="1" applyFill="1" applyFont="1">
      <alignment horizontal="center" vertical="bottom"/>
    </xf>
    <xf borderId="0" fillId="13" fontId="17" numFmtId="0" xfId="0" applyAlignment="1" applyFill="1" applyFont="1">
      <alignment horizontal="center" shrinkToFit="0" vertical="bottom" wrapText="1"/>
    </xf>
    <xf borderId="0" fillId="14" fontId="17" numFmtId="0" xfId="0" applyAlignment="1" applyFill="1" applyFont="1">
      <alignment horizontal="center" vertical="bottom"/>
    </xf>
    <xf borderId="0" fillId="14" fontId="17" numFmtId="0" xfId="0" applyAlignment="1" applyFill="1" applyFont="1">
      <alignment horizontal="center" shrinkToFit="0" vertical="bottom" wrapText="1"/>
    </xf>
    <xf borderId="0" fillId="6" fontId="33" numFmtId="0" xfId="0" applyAlignment="1" applyFill="1" applyFont="1">
      <alignment horizontal="center"/>
    </xf>
    <xf borderId="0" fillId="0" fontId="2" numFmtId="167" xfId="0" applyAlignment="1" applyFont="1" applyNumberFormat="1">
      <alignment horizontal="center"/>
    </xf>
    <xf borderId="0" fillId="0" fontId="2" numFmtId="1" xfId="0" applyAlignment="1" applyFont="1" applyNumberFormat="1">
      <alignment horizontal="center"/>
    </xf>
    <xf borderId="0" fillId="0" fontId="2" numFmtId="165" xfId="0" applyAlignment="1" applyFont="1" applyNumberFormat="1">
      <alignment horizontal="center"/>
    </xf>
    <xf borderId="0" fillId="0" fontId="2" numFmtId="9" xfId="0" applyAlignment="1" applyFont="1" applyNumberFormat="1">
      <alignment horizontal="center"/>
    </xf>
    <xf borderId="0" fillId="0" fontId="31" numFmtId="0" xfId="0" applyAlignment="1" applyFont="1">
      <alignment horizontal="center" readingOrder="0"/>
    </xf>
    <xf borderId="0" fillId="15" fontId="31" numFmtId="0" xfId="0" applyAlignment="1" applyFill="1" applyFont="1">
      <alignment horizontal="center" readingOrder="0"/>
    </xf>
    <xf borderId="0" fillId="11" fontId="31" numFmtId="0" xfId="0" applyAlignment="1" applyFill="1" applyFont="1">
      <alignment horizontal="center" readingOrder="0"/>
    </xf>
    <xf borderId="0" fillId="16" fontId="31" numFmtId="0" xfId="0" applyAlignment="1" applyFill="1" applyFont="1">
      <alignment horizontal="center" readingOrder="0"/>
    </xf>
    <xf borderId="0" fillId="17" fontId="31" numFmtId="0" xfId="0" applyAlignment="1" applyFill="1" applyFont="1">
      <alignment readingOrder="0"/>
    </xf>
    <xf borderId="0" fillId="17" fontId="31" numFmtId="0" xfId="0" applyAlignment="1" applyFill="1" applyFont="1">
      <alignment horizontal="center" readingOrder="0"/>
    </xf>
    <xf borderId="0" fillId="18" fontId="2" numFmtId="0" xfId="0" applyAlignment="1" applyFill="1" applyFont="1">
      <alignment readingOrder="0"/>
    </xf>
    <xf borderId="0" fillId="0" fontId="2" numFmtId="9" xfId="0" applyAlignment="1" applyFont="1" applyNumberFormat="1">
      <alignment readingOrder="0"/>
    </xf>
    <xf borderId="0" fillId="19" fontId="2" numFmtId="0" xfId="0" applyAlignment="1" applyFill="1" applyFont="1">
      <alignment horizontal="left" readingOrder="0"/>
    </xf>
    <xf borderId="0" fillId="19" fontId="2" numFmtId="1" xfId="0" applyFill="1" applyFont="1" applyNumberFormat="1"/>
    <xf borderId="0" fillId="19" fontId="2" numFmtId="165" xfId="0" applyFill="1" applyFont="1" applyNumberFormat="1"/>
    <xf borderId="0" fillId="19" fontId="2" numFmtId="165" xfId="0" applyAlignment="1" applyFill="1" applyFont="1" applyNumberFormat="1">
      <alignment readingOrder="0"/>
    </xf>
    <xf borderId="0" fillId="4" fontId="2" numFmtId="0" xfId="0" applyFill="1" applyFont="1"/>
    <xf borderId="0" fillId="4" fontId="2" numFmtId="1" xfId="0" applyFill="1" applyFont="1" applyNumberFormat="1"/>
    <xf borderId="0" fillId="20" fontId="2" numFmtId="0" xfId="0" applyFill="1" applyFont="1"/>
    <xf borderId="0" fillId="20" fontId="2" numFmtId="1" xfId="0" applyFill="1" applyFont="1" applyNumberFormat="1"/>
    <xf borderId="0" fillId="20" fontId="2" numFmtId="165" xfId="0" applyFill="1" applyFont="1" applyNumberFormat="1"/>
    <xf borderId="0" fillId="10" fontId="38" numFmtId="0" xfId="0" applyAlignment="1" applyFill="1" applyFont="1">
      <alignment readingOrder="0" vertical="center"/>
    </xf>
    <xf borderId="0" fillId="10" fontId="4" numFmtId="0" xfId="0" applyAlignment="1" applyFill="1" applyFont="1">
      <alignment horizontal="right"/>
    </xf>
    <xf borderId="0" fillId="8" fontId="19" numFmtId="0" xfId="0" applyAlignment="1" applyFill="1" applyFont="1">
      <alignment readingOrder="0" vertical="center"/>
    </xf>
    <xf borderId="0" fillId="6" fontId="39" numFmtId="0" xfId="0" applyAlignment="1" applyFill="1" applyFont="1">
      <alignment vertical="center"/>
    </xf>
    <xf borderId="0" fillId="8" fontId="2" numFmtId="0" xfId="0" applyAlignment="1" applyFill="1" applyFont="1">
      <alignment vertical="center"/>
    </xf>
    <xf borderId="0" fillId="8" fontId="2" numFmtId="0" xfId="0" applyAlignment="1" applyFill="1" applyFont="1">
      <alignment readingOrder="0" vertical="center"/>
    </xf>
    <xf borderId="0" fillId="8" fontId="40" numFmtId="0" xfId="0" applyAlignment="1" applyFill="1" applyFont="1">
      <alignment horizontal="right" readingOrder="0" vertical="center"/>
    </xf>
    <xf borderId="0" fillId="10" fontId="41" numFmtId="0" xfId="0" applyAlignment="1" applyFill="1" applyFont="1">
      <alignment readingOrder="0" vertical="center"/>
    </xf>
    <xf borderId="0" fillId="10" fontId="41" numFmtId="0" xfId="0" applyAlignment="1" applyFill="1" applyFont="1">
      <alignment horizontal="right" readingOrder="0" vertical="center"/>
    </xf>
    <xf borderId="0" fillId="10" fontId="41" numFmtId="0" xfId="0" applyAlignment="1" applyFill="1" applyFont="1">
      <alignment vertical="center"/>
    </xf>
    <xf borderId="0" fillId="10" fontId="18" numFmtId="0" xfId="0" applyAlignment="1" applyFill="1" applyFont="1">
      <alignment vertical="center"/>
    </xf>
    <xf borderId="0" fillId="10" fontId="38" numFmtId="9" xfId="0" applyAlignment="1" applyFill="1" applyFont="1" applyNumberFormat="1">
      <alignment vertical="center"/>
    </xf>
    <xf borderId="0" fillId="10" fontId="2" numFmtId="0" xfId="0" applyAlignment="1" applyFill="1" applyFont="1">
      <alignment vertical="center"/>
    </xf>
    <xf borderId="0" fillId="10" fontId="18" numFmtId="166" xfId="0" applyAlignment="1" applyFill="1" applyFont="1" applyNumberFormat="1">
      <alignment vertical="center"/>
    </xf>
    <xf borderId="0" fillId="6" fontId="42" numFmtId="1" xfId="0" applyFill="1" applyFont="1" applyNumberFormat="1"/>
    <xf borderId="0" fillId="0" fontId="2" numFmtId="166" xfId="0" applyFont="1" applyNumberFormat="1"/>
    <xf borderId="0" fillId="6" fontId="42" numFmtId="9" xfId="0" applyFill="1" applyFont="1" applyNumberFormat="1"/>
    <xf borderId="0" fillId="0" fontId="25" numFmtId="0" xfId="0" applyAlignment="1" applyFont="1">
      <alignment horizontal="left" readingOrder="0" vertical="center"/>
    </xf>
    <xf borderId="10" fillId="0" fontId="2" numFmtId="0" xfId="0" applyBorder="1" applyFont="1"/>
    <xf borderId="11" fillId="12" fontId="19" numFmtId="0" xfId="0" applyAlignment="1" applyBorder="1" applyFill="1" applyFont="1">
      <alignment horizontal="center" readingOrder="0"/>
    </xf>
    <xf borderId="12" fillId="0" fontId="34" numFmtId="0" xfId="0" applyBorder="1" applyFont="1"/>
    <xf borderId="2" fillId="12" fontId="19" numFmtId="0" xfId="0" applyAlignment="1" applyBorder="1" applyFill="1" applyFont="1">
      <alignment horizontal="center" readingOrder="0"/>
    </xf>
    <xf borderId="5" fillId="0" fontId="31" numFmtId="0" xfId="0" applyAlignment="1" applyBorder="1" applyFont="1">
      <alignment horizontal="center" readingOrder="0"/>
    </xf>
    <xf borderId="7" fillId="0" fontId="31" numFmtId="0" xfId="0" applyAlignment="1" applyBorder="1" applyFont="1">
      <alignment horizontal="center" readingOrder="0"/>
    </xf>
    <xf borderId="0" fillId="0" fontId="31" numFmtId="0" xfId="0" applyFont="1"/>
    <xf borderId="5" fillId="0" fontId="31" numFmtId="0" xfId="0" applyAlignment="1" applyBorder="1" applyFont="1">
      <alignment readingOrder="0"/>
    </xf>
    <xf borderId="7" fillId="0" fontId="34" numFmtId="0" xfId="0" applyBorder="1" applyFont="1"/>
    <xf borderId="5" fillId="0" fontId="31" numFmtId="1" xfId="0" applyAlignment="1" applyBorder="1" applyFont="1" applyNumberFormat="1">
      <alignment horizontal="center"/>
    </xf>
    <xf borderId="11" fillId="12" fontId="19" numFmtId="0" xfId="0" applyAlignment="1" applyBorder="1" applyFill="1" applyFont="1">
      <alignment horizontal="center" readingOrder="0" shrinkToFit="0" wrapText="1"/>
    </xf>
    <xf borderId="11" fillId="12" fontId="19" numFmtId="0" xfId="0" applyAlignment="1" applyBorder="1" applyFill="1" applyFont="1">
      <alignment horizontal="center" readingOrder="0" vertical="center"/>
    </xf>
    <xf borderId="5" fillId="0" fontId="31" numFmtId="1" xfId="0" applyAlignment="1" applyBorder="1" applyFont="1" applyNumberFormat="1">
      <alignment readingOrder="0"/>
    </xf>
    <xf borderId="0" fillId="6" fontId="19" numFmtId="0" xfId="0" applyAlignment="1" applyFill="1" applyFont="1">
      <alignment horizontal="center" readingOrder="0" shrinkToFit="0" wrapText="1"/>
    </xf>
    <xf borderId="0" fillId="6" fontId="19" numFmtId="0" xfId="0" applyAlignment="1" applyFill="1" applyFont="1">
      <alignment horizontal="center" readingOrder="0" vertical="center"/>
    </xf>
    <xf borderId="5" fillId="0" fontId="25" numFmtId="9" xfId="0" applyAlignment="1" applyBorder="1" applyFont="1" applyNumberFormat="1">
      <alignment horizontal="center" vertical="center"/>
    </xf>
    <xf borderId="5" fillId="0" fontId="25" numFmtId="0" xfId="0" applyAlignment="1" applyBorder="1" applyFont="1">
      <alignment horizontal="center" vertical="center"/>
    </xf>
    <xf borderId="2" fillId="12" fontId="19" numFmtId="0" xfId="0" applyAlignment="1" applyBorder="1" applyFill="1" applyFont="1">
      <alignment horizontal="center" readingOrder="0" shrinkToFit="0" wrapText="1"/>
    </xf>
    <xf borderId="11" fillId="12" fontId="19" numFmtId="0" xfId="0" applyAlignment="1" applyBorder="1" applyFill="1" applyFont="1">
      <alignment horizontal="center" readingOrder="0" shrinkToFit="0" vertical="center" wrapText="1"/>
    </xf>
    <xf borderId="11" fillId="0" fontId="25" numFmtId="166" xfId="0" applyAlignment="1" applyBorder="1" applyFont="1" applyNumberFormat="1">
      <alignment horizontal="center" vertical="center"/>
    </xf>
    <xf borderId="13" fillId="0" fontId="34" numFmtId="0" xfId="0" applyBorder="1" applyFont="1"/>
    <xf borderId="5" fillId="0" fontId="25" numFmtId="166" xfId="0" applyAlignment="1" applyBorder="1" applyFont="1" applyNumberFormat="1">
      <alignment horizontal="center" readingOrder="0" vertical="center"/>
    </xf>
    <xf borderId="8" fillId="0" fontId="2" numFmtId="0" xfId="0" applyBorder="1" applyFont="1"/>
    <xf borderId="0" fillId="0" fontId="2" numFmtId="0" xfId="0" applyAlignment="1" applyFont="1">
      <alignment horizontal="center" readingOrder="0"/>
    </xf>
    <xf borderId="9" fillId="0" fontId="34" numFmtId="0" xfId="0" applyBorder="1" applyFont="1"/>
    <xf borderId="8" fillId="0" fontId="19" numFmtId="0" xfId="0" applyAlignment="1" applyBorder="1" applyFont="1">
      <alignment horizontal="center" readingOrder="0"/>
    </xf>
    <xf borderId="9" fillId="0" fontId="31" numFmtId="0" xfId="0" applyAlignment="1" applyBorder="1" applyFont="1">
      <alignment horizontal="center" readingOrder="0"/>
    </xf>
    <xf borderId="8" fillId="0" fontId="31" numFmtId="0" xfId="0" applyAlignment="1" applyBorder="1" applyFont="1">
      <alignment horizontal="center" readingOrder="0"/>
    </xf>
    <xf borderId="9" fillId="0" fontId="2" numFmtId="0" xfId="0" applyBorder="1" applyFont="1"/>
    <xf borderId="5" fillId="0" fontId="19" numFmtId="0" xfId="0" applyAlignment="1" applyBorder="1" applyFont="1">
      <alignment horizontal="center" readingOrder="0"/>
    </xf>
    <xf borderId="6" fillId="0" fontId="34" numFmtId="0" xfId="0" applyBorder="1" applyFont="1"/>
    <xf borderId="6" fillId="0" fontId="2" numFmtId="0" xfId="0" applyBorder="1" applyFont="1"/>
    <xf borderId="7" fillId="0" fontId="2" numFmtId="0" xfId="0" applyBorder="1" applyFont="1"/>
    <xf borderId="2" fillId="0" fontId="2" numFmtId="0" xfId="0" applyBorder="1" applyFont="1"/>
    <xf borderId="3" fillId="0" fontId="2" numFmtId="0" xfId="0" applyBorder="1" applyFont="1"/>
    <xf borderId="3" fillId="0" fontId="31" numFmtId="0" xfId="0" applyAlignment="1" applyBorder="1" applyFont="1">
      <alignment horizontal="center" readingOrder="0"/>
    </xf>
    <xf borderId="3" fillId="0" fontId="31" numFmtId="0" xfId="0" applyBorder="1" applyFont="1"/>
    <xf borderId="4" fillId="0" fontId="2" numFmtId="0" xfId="0" applyBorder="1" applyFont="1"/>
    <xf borderId="8" fillId="0" fontId="2" numFmtId="0" xfId="0" applyAlignment="1" applyBorder="1" applyFont="1">
      <alignment readingOrder="0"/>
    </xf>
    <xf borderId="8" fillId="0" fontId="30" numFmtId="0" xfId="0" applyAlignment="1" applyBorder="1" applyFont="1">
      <alignment horizontal="left" readingOrder="0"/>
    </xf>
    <xf borderId="5"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
          <c:y val="0.0"/>
          <c:w val="0.9896306537625914"/>
          <c:h val="0.9852459016393442"/>
        </c:manualLayout>
      </c:layout>
      <c:doughnutChart>
        <c:varyColors val="1"/>
        <c:ser>
          <c:idx val="0"/>
          <c:order val="0"/>
          <c:tx>
            <c:strRef>
              <c:f>Sectors!$B$1</c:f>
            </c:strRef>
          </c:tx>
          <c:dPt>
            <c:idx val="0"/>
            <c:spPr>
              <a:solidFill>
                <a:srgbClr val="608F66"/>
              </a:solidFill>
            </c:spPr>
          </c:dPt>
          <c:dPt>
            <c:idx val="1"/>
            <c:spPr>
              <a:solidFill>
                <a:srgbClr val="274766"/>
              </a:solidFill>
            </c:spPr>
          </c:dPt>
          <c:dPt>
            <c:idx val="2"/>
            <c:spPr>
              <a:solidFill>
                <a:srgbClr val="DFA398"/>
              </a:solidFill>
            </c:spPr>
          </c:dPt>
          <c:dPt>
            <c:idx val="3"/>
            <c:spPr>
              <a:solidFill>
                <a:srgbClr val="AB9084"/>
              </a:solidFill>
            </c:spPr>
          </c:dPt>
          <c:dLbls>
            <c:dLbl>
              <c:idx val="0"/>
              <c:tx>
                <c:rich>
                  <a:bodyPr/>
                  <a:lstStyle/>
                  <a:p>
                    <a:pPr lvl="0">
                      <a:defRPr b="1" sz="1200">
                        <a:solidFill>
                          <a:srgbClr val="000000"/>
                        </a:solidFill>
                        <a:latin typeface="+mn-lt"/>
                      </a:defRPr>
                    </a:pPr>
                    <a:r>
                      <a:rPr b="1" sz="1200">
                        <a:solidFill>
                          <a:srgbClr val="000000"/>
                        </a:solidFill>
                        <a:latin typeface="+mn-lt"/>
                      </a:rPr>
                      <a:t>Building</a:t>
                    </a:r>
                  </a:p>
                </c:rich>
              </c:tx>
              <c:showLegendKey val="0"/>
              <c:showVal val="0"/>
              <c:showCatName val="1"/>
              <c:showSerName val="0"/>
              <c:showPercent val="0"/>
              <c:showBubbleSize val="0"/>
            </c:dLbl>
            <c:dLbl>
              <c:idx val="1"/>
              <c:tx>
                <c:rich>
                  <a:bodyPr/>
                  <a:lstStyle/>
                  <a:p>
                    <a:pPr lvl="0">
                      <a:defRPr b="1" sz="1200">
                        <a:solidFill>
                          <a:srgbClr val="000000"/>
                        </a:solidFill>
                        <a:latin typeface="+mn-lt"/>
                      </a:defRPr>
                    </a:pPr>
                    <a:r>
                      <a:rPr b="1" sz="1200">
                        <a:solidFill>
                          <a:srgbClr val="000000"/>
                        </a:solidFill>
                        <a:latin typeface="+mn-lt"/>
                      </a:rPr>
                      <a:t>Fleet</a:t>
                    </a:r>
                  </a:p>
                </c:rich>
              </c:tx>
              <c:showLegendKey val="0"/>
              <c:showVal val="0"/>
              <c:showCatName val="1"/>
              <c:showSerName val="0"/>
              <c:showPercent val="0"/>
              <c:showBubbleSize val="0"/>
            </c:dLbl>
            <c:dLbl>
              <c:idx val="2"/>
              <c:tx>
                <c:rich>
                  <a:bodyPr/>
                  <a:lstStyle/>
                  <a:p>
                    <a:pPr lvl="0">
                      <a:defRPr b="1" sz="1200">
                        <a:solidFill>
                          <a:srgbClr val="000000"/>
                        </a:solidFill>
                        <a:latin typeface="+mn-lt"/>
                      </a:defRPr>
                    </a:pPr>
                    <a:r>
                      <a:rPr b="1" sz="1200">
                        <a:solidFill>
                          <a:srgbClr val="000000"/>
                        </a:solidFill>
                        <a:latin typeface="+mn-lt"/>
                      </a:rPr>
                      <a:t>Streetlighting</a:t>
                    </a:r>
                  </a:p>
                </c:rich>
              </c:tx>
              <c:showLegendKey val="0"/>
              <c:showVal val="0"/>
              <c:showCatName val="1"/>
              <c:showSerName val="0"/>
              <c:showPercent val="0"/>
              <c:showBubbleSize val="0"/>
            </c:dLbl>
            <c:dLbl>
              <c:idx val="3"/>
              <c:tx>
                <c:rich>
                  <a:bodyPr/>
                  <a:lstStyle/>
                  <a:p>
                    <a:pPr lvl="0">
                      <a:defRPr b="1" sz="1200">
                        <a:solidFill>
                          <a:srgbClr val="000000"/>
                        </a:solidFill>
                        <a:latin typeface="+mn-lt"/>
                      </a:defRPr>
                    </a:pPr>
                    <a:r>
                      <a:rPr b="1" sz="1200">
                        <a:solidFill>
                          <a:srgbClr val="000000"/>
                        </a:solidFill>
                        <a:latin typeface="+mn-lt"/>
                      </a:rPr>
                      <a:t>Wastewater</a:t>
                    </a:r>
                  </a:p>
                </c:rich>
              </c:tx>
              <c:showLegendKey val="0"/>
              <c:showVal val="0"/>
              <c:showCatName val="1"/>
              <c:showSerName val="0"/>
              <c:showPercent val="0"/>
              <c:showBubbleSize val="0"/>
            </c:dLbl>
            <c:showLegendKey val="0"/>
            <c:showVal val="0"/>
            <c:showCatName val="1"/>
            <c:showSerName val="0"/>
            <c:showPercent val="0"/>
            <c:showBubbleSize val="0"/>
            <c:showLeaderLines val="1"/>
          </c:dLbls>
          <c:cat>
            <c:strRef>
              <c:f>Sectors!$A$2:$A$5</c:f>
            </c:strRef>
          </c:cat>
          <c:val>
            <c:numRef>
              <c:f>Sectors!$B$2:$B$5</c:f>
              <c:numCache/>
            </c:numRef>
          </c:val>
        </c:ser>
        <c:dLbls>
          <c:showLegendKey val="0"/>
          <c:showVal val="0"/>
          <c:showCatName val="0"/>
          <c:showSerName val="0"/>
          <c:showPercent val="0"/>
          <c:showBubbleSize val="0"/>
        </c:dLbls>
        <c:holeSize val="25"/>
      </c:doughnutChart>
    </c:plotArea>
    <c:plotVisOnly val="1"/>
  </c:chart>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doughnutChart>
        <c:varyColors val="1"/>
        <c:ser>
          <c:idx val="0"/>
          <c:order val="0"/>
          <c:dPt>
            <c:idx val="0"/>
            <c:spPr>
              <a:solidFill>
                <a:srgbClr val="6DB33C"/>
              </a:solidFill>
              <a:ln cmpd="sng" w="9525">
                <a:solidFill>
                  <a:schemeClr val="accent2"/>
                </a:solidFill>
              </a:ln>
            </c:spPr>
          </c:dPt>
          <c:dLbls>
            <c:showLegendKey val="0"/>
            <c:showVal val="0"/>
            <c:showCatName val="0"/>
            <c:showSerName val="0"/>
            <c:showPercent val="0"/>
            <c:showBubbleSize val="0"/>
            <c:showLeaderLines val="1"/>
          </c:dLbls>
          <c:cat>
            <c:strRef>
              <c:f>Energy!$C$1:$F$1</c:f>
            </c:strRef>
          </c:cat>
          <c:val>
            <c:numRef>
              <c:f>Energy!$C$18:$F$18</c:f>
              <c:numCache/>
            </c:numRef>
          </c:val>
        </c:ser>
        <c:dLbls>
          <c:showLegendKey val="0"/>
          <c:showVal val="0"/>
          <c:showCatName val="0"/>
          <c:showSerName val="0"/>
          <c:showPercent val="0"/>
          <c:showBubbleSize val="0"/>
        </c:dLbls>
        <c:holeSize val="50"/>
      </c:doughnutChart>
    </c:plotArea>
    <c:legend>
      <c:legendPos val="b"/>
      <c:overlay val="0"/>
      <c:txPr>
        <a:bodyPr/>
        <a:lstStyle/>
        <a:p>
          <a:pPr lvl="0">
            <a:defRPr b="0" sz="1400">
              <a:solidFill>
                <a:srgbClr val="1A1A1A"/>
              </a:solidFill>
              <a:latin typeface="+mn-lt"/>
            </a:defRPr>
          </a:pPr>
        </a:p>
      </c:txPr>
    </c:legend>
    <c:plotVisOnly val="1"/>
  </c:chart>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Building Emissions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Emissions!$C$17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Emissions!$C$18:$C$34</c:f>
              <c:numCache/>
            </c:numRef>
          </c:val>
          <c:smooth val="1"/>
        </c:ser>
        <c:axId val="441016992"/>
        <c:axId val="1203111310"/>
      </c:lineChart>
      <c:catAx>
        <c:axId val="44101699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203111310"/>
      </c:catAx>
      <c:valAx>
        <c:axId val="120311131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441016992"/>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Building Energy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Energy!$C$1</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Energy!$A$2:$A$18</c:f>
            </c:strRef>
          </c:cat>
          <c:val>
            <c:numRef>
              <c:f>Energy!$C$2:$C$18</c:f>
              <c:numCache/>
            </c:numRef>
          </c:val>
          <c:smooth val="1"/>
        </c:ser>
        <c:axId val="177488254"/>
        <c:axId val="497294878"/>
      </c:lineChart>
      <c:catAx>
        <c:axId val="17748825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497294878"/>
      </c:catAx>
      <c:valAx>
        <c:axId val="497294878"/>
        <c:scaling>
          <c:orientation val="minMax"/>
          <c:min val="40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Energy (GJ)</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77488254"/>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Fleet Energy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Energy!$C$1</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Energy!$A$2:$A$18</c:f>
            </c:strRef>
          </c:cat>
          <c:val>
            <c:numRef>
              <c:f>Energy!$C$2:$C$18</c:f>
              <c:numCache/>
            </c:numRef>
          </c:val>
          <c:smooth val="1"/>
        </c:ser>
        <c:axId val="1547477494"/>
        <c:axId val="2024951085"/>
      </c:lineChart>
      <c:catAx>
        <c:axId val="154747749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2024951085"/>
      </c:catAx>
      <c:valAx>
        <c:axId val="2024951085"/>
        <c:scaling>
          <c:orientation val="minMax"/>
          <c:min val="40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Energy (GJ)</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547477494"/>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Fleet Emissions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Emissions!$D$17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Emissions!$D$18:$D$34</c:f>
              <c:numCache/>
            </c:numRef>
          </c:val>
          <c:smooth val="1"/>
        </c:ser>
        <c:axId val="755382673"/>
        <c:axId val="272303000"/>
      </c:lineChart>
      <c:catAx>
        <c:axId val="75538267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272303000"/>
      </c:catAx>
      <c:valAx>
        <c:axId val="27230300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755382673"/>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Streetlighting Emissions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Emissions!$E$17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Emissions!$E$18:$E$34</c:f>
              <c:numCache/>
            </c:numRef>
          </c:val>
          <c:smooth val="1"/>
        </c:ser>
        <c:axId val="286002296"/>
        <c:axId val="1067239880"/>
      </c:lineChart>
      <c:catAx>
        <c:axId val="28600229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067239880"/>
      </c:catAx>
      <c:valAx>
        <c:axId val="1067239880"/>
        <c:scaling>
          <c:orientation val="minMax"/>
          <c:max val="5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86002296"/>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Streetlighting Energy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Energy!$E$1</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Energy!$A$2:$A$18</c:f>
            </c:strRef>
          </c:cat>
          <c:val>
            <c:numRef>
              <c:f>Energy!$E$2:$E$18</c:f>
              <c:numCache/>
            </c:numRef>
          </c:val>
          <c:smooth val="1"/>
        </c:ser>
        <c:axId val="551265739"/>
        <c:axId val="1398472084"/>
      </c:lineChart>
      <c:catAx>
        <c:axId val="55126573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398472084"/>
      </c:catAx>
      <c:valAx>
        <c:axId val="1398472084"/>
        <c:scaling>
          <c:orientation val="minMax"/>
          <c:min val="4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Energy (GJ)</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551265739"/>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Wastewater Energy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Energy!$E$1</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Energy!$A$2:$A$18</c:f>
            </c:strRef>
          </c:cat>
          <c:val>
            <c:numRef>
              <c:f>Energy!$E$2:$E$18</c:f>
              <c:numCache/>
            </c:numRef>
          </c:val>
          <c:smooth val="1"/>
        </c:ser>
        <c:axId val="1057570865"/>
        <c:axId val="1734254155"/>
      </c:lineChart>
      <c:catAx>
        <c:axId val="105757086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734254155"/>
      </c:catAx>
      <c:valAx>
        <c:axId val="1734254155"/>
        <c:scaling>
          <c:orientation val="minMax"/>
          <c:min val="4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Energy (GJ)</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057570865"/>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Wastewater Emissions 2005-2021</a:t>
            </a:r>
          </a:p>
        </c:rich>
      </c:tx>
      <c:layout>
        <c:manualLayout>
          <c:xMode val="edge"/>
          <c:yMode val="edge"/>
          <c:x val="0.034021406727828746"/>
          <c:y val="0.01740386628515597"/>
        </c:manualLayout>
      </c:layout>
      <c:overlay val="0"/>
    </c:title>
    <c:plotArea>
      <c:layout>
        <c:manualLayout>
          <c:xMode val="edge"/>
          <c:yMode val="edge"/>
          <c:x val="0.1414373088685017"/>
          <c:y val="0.12022471910112359"/>
          <c:w val="0.82262996941896"/>
          <c:h val="0.7528089887640448"/>
        </c:manualLayout>
      </c:layout>
      <c:lineChart>
        <c:varyColors val="0"/>
        <c:ser>
          <c:idx val="0"/>
          <c:order val="0"/>
          <c:tx>
            <c:strRef>
              <c:f>Emissions!$E$17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Emissions!$E$18:$E$34</c:f>
              <c:numCache/>
            </c:numRef>
          </c:val>
          <c:smooth val="1"/>
        </c:ser>
        <c:axId val="2040375744"/>
        <c:axId val="1271304353"/>
      </c:lineChart>
      <c:catAx>
        <c:axId val="204037574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271304353"/>
      </c:catAx>
      <c:valAx>
        <c:axId val="1271304353"/>
        <c:scaling>
          <c:orientation val="minMax"/>
          <c:max val="5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040375744"/>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1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Emissions 2005-2021</a:t>
            </a:r>
          </a:p>
        </c:rich>
      </c:tx>
      <c:layout>
        <c:manualLayout>
          <c:xMode val="edge"/>
          <c:yMode val="edge"/>
          <c:x val="0.034021406727828746"/>
          <c:y val="0.01740386628515597"/>
        </c:manualLayout>
      </c:layout>
      <c:overlay val="0"/>
    </c:title>
    <c:plotArea>
      <c:layout>
        <c:manualLayout>
          <c:xMode val="edge"/>
          <c:yMode val="edge"/>
          <c:x val="0.09706643658326143"/>
          <c:y val="0.1202247191011236"/>
          <c:w val="0.8670008417042004"/>
          <c:h val="0.7528089887640448"/>
        </c:manualLayout>
      </c:layout>
      <c:barChart>
        <c:barDir val="col"/>
        <c:grouping val="stacked"/>
        <c:ser>
          <c:idx val="0"/>
          <c:order val="0"/>
          <c:tx>
            <c:strRef>
              <c:f>Emissions!$E$17</c:f>
            </c:strRef>
          </c:tx>
          <c:spPr>
            <a:solidFill>
              <a:schemeClr val="accent1"/>
            </a:solidFill>
            <a:ln cmpd="sng">
              <a:noFill/>
            </a:ln>
          </c:spPr>
          <c:trendline>
            <c:name/>
            <c:spPr>
              <a:ln w="19050">
                <a:solidFill>
                  <a:srgbClr val="000000"/>
                </a:solidFill>
              </a:ln>
            </c:spPr>
            <c:trendlineType val="linear"/>
            <c:dispRSqr val="0"/>
            <c:dispEq val="0"/>
          </c:trendline>
          <c:cat>
            <c:strRef>
              <c:f>Emissions!$A$18:$A$34</c:f>
            </c:strRef>
          </c:cat>
          <c:val>
            <c:numRef>
              <c:f>Emissions!$E$18:$E$34</c:f>
              <c:numCache/>
            </c:numRef>
          </c:val>
        </c:ser>
        <c:ser>
          <c:idx val="1"/>
          <c:order val="1"/>
          <c:tx>
            <c:strRef>
              <c:f>Emissions!$C$17</c:f>
            </c:strRef>
          </c:tx>
          <c:spPr>
            <a:solidFill>
              <a:schemeClr val="accent2"/>
            </a:solidFill>
            <a:ln cmpd="sng">
              <a:noFill/>
            </a:ln>
          </c:spPr>
          <c:cat>
            <c:strRef>
              <c:f>Emissions!$A$18:$A$34</c:f>
            </c:strRef>
          </c:cat>
          <c:val>
            <c:numRef>
              <c:f>Emissions!$C$18:$C$34</c:f>
              <c:numCache/>
            </c:numRef>
          </c:val>
        </c:ser>
        <c:ser>
          <c:idx val="2"/>
          <c:order val="2"/>
          <c:tx>
            <c:strRef>
              <c:f>Emissions!$D$17</c:f>
            </c:strRef>
          </c:tx>
          <c:spPr>
            <a:solidFill>
              <a:srgbClr val="6DB33C"/>
            </a:solidFill>
            <a:ln cmpd="sng">
              <a:noFill/>
            </a:ln>
          </c:spPr>
          <c:dPt>
            <c:idx val="9"/>
          </c:dPt>
          <c:cat>
            <c:strRef>
              <c:f>Emissions!$A$18:$A$34</c:f>
            </c:strRef>
          </c:cat>
          <c:val>
            <c:numRef>
              <c:f>Emissions!$D$18:$D$34</c:f>
              <c:numCache/>
            </c:numRef>
          </c:val>
        </c:ser>
        <c:ser>
          <c:idx val="3"/>
          <c:order val="3"/>
          <c:tx>
            <c:strRef>
              <c:f>Emissions!$F$17</c:f>
            </c:strRef>
          </c:tx>
          <c:spPr>
            <a:solidFill>
              <a:srgbClr val="98D3ED"/>
            </a:solidFill>
            <a:ln cmpd="sng">
              <a:noFill/>
            </a:ln>
          </c:spPr>
          <c:cat>
            <c:strRef>
              <c:f>Emissions!$A$18:$A$34</c:f>
            </c:strRef>
          </c:cat>
          <c:val>
            <c:numRef>
              <c:f>Emissions!$F$18:$F$34</c:f>
              <c:numCache/>
            </c:numRef>
          </c:val>
        </c:ser>
        <c:overlap val="100"/>
        <c:axId val="694190807"/>
        <c:axId val="616960851"/>
      </c:barChart>
      <c:lineChart>
        <c:varyColors val="0"/>
        <c:ser>
          <c:idx val="4"/>
          <c:order val="4"/>
          <c:tx>
            <c:strRef>
              <c:f>Emissions!$B$17</c:f>
            </c:strRef>
          </c:tx>
          <c:spPr>
            <a:ln cmpd="sng">
              <a:solidFill>
                <a:schemeClr val="accent2"/>
              </a:solidFill>
            </a:ln>
          </c:spPr>
          <c:marker>
            <c:symbol val="circle"/>
            <c:size val="7"/>
            <c:spPr>
              <a:solidFill>
                <a:schemeClr val="accent2"/>
              </a:solidFill>
              <a:ln cmpd="sng">
                <a:solidFill>
                  <a:schemeClr val="accent2"/>
                </a:solidFill>
              </a:ln>
            </c:spPr>
          </c:marker>
          <c:cat>
            <c:strRef>
              <c:f>Emissions!$A$18:$A$34</c:f>
            </c:strRef>
          </c:cat>
          <c:val>
            <c:numRef>
              <c:f>Emissions!$B$18:$B$34</c:f>
              <c:numCache/>
            </c:numRef>
          </c:val>
          <c:smooth val="1"/>
        </c:ser>
        <c:axId val="694190807"/>
        <c:axId val="616960851"/>
      </c:lineChart>
      <c:catAx>
        <c:axId val="69419080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616960851"/>
      </c:catAx>
      <c:valAx>
        <c:axId val="61696085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694190807"/>
      </c:valAx>
    </c:plotArea>
    <c:legend>
      <c:legendPos val="r"/>
      <c:layout>
        <c:manualLayout>
          <c:xMode val="edge"/>
          <c:yMode val="edge"/>
          <c:x val="0.21914576574168895"/>
          <c:y val="0.9519369840997559"/>
        </c:manualLayout>
      </c:layout>
      <c:overlay val="0"/>
      <c:txPr>
        <a:bodyPr/>
        <a:lstStyle/>
        <a:p>
          <a:pPr lvl="0">
            <a:defRPr b="0" sz="140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Emissions Over Time</a:t>
            </a:r>
          </a:p>
        </c:rich>
      </c:tx>
      <c:overlay val="0"/>
    </c:title>
    <c:plotArea>
      <c:layout/>
      <c:lineChart>
        <c:ser>
          <c:idx val="0"/>
          <c:order val="0"/>
          <c:tx>
            <c:strRef>
              <c:f>Emissions!$B$17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Emissions!$B$18:$B$34</c:f>
              <c:numCache/>
            </c:numRef>
          </c:val>
          <c:smooth val="1"/>
        </c:ser>
        <c:ser>
          <c:idx val="1"/>
          <c:order val="1"/>
          <c:tx>
            <c:strRef>
              <c:f>Emissions!$G$17</c:f>
            </c:strRef>
          </c:tx>
          <c:spPr>
            <a:ln cmpd="sng">
              <a:solidFill>
                <a:srgbClr val="274766"/>
              </a:solidFill>
            </a:ln>
          </c:spPr>
          <c:marker>
            <c:symbol val="none"/>
          </c:marker>
          <c:cat>
            <c:strRef>
              <c:f>Emissions!$A$18:$A$34</c:f>
            </c:strRef>
          </c:cat>
          <c:val>
            <c:numRef>
              <c:f>Emissions!$G$18:$G$34</c:f>
              <c:numCache/>
            </c:numRef>
          </c:val>
          <c:smooth val="1"/>
        </c:ser>
        <c:ser>
          <c:idx val="2"/>
          <c:order val="2"/>
          <c:tx>
            <c:strRef>
              <c:f>Emissions!$H$17</c:f>
            </c:strRef>
          </c:tx>
          <c:spPr>
            <a:ln cmpd="sng">
              <a:solidFill>
                <a:srgbClr val="DFA398"/>
              </a:solidFill>
            </a:ln>
          </c:spPr>
          <c:marker>
            <c:symbol val="none"/>
          </c:marker>
          <c:cat>
            <c:strRef>
              <c:f>Emissions!$A$18:$A$34</c:f>
            </c:strRef>
          </c:cat>
          <c:val>
            <c:numRef>
              <c:f>Emissions!$H$18:$H$34</c:f>
              <c:numCache/>
            </c:numRef>
          </c:val>
          <c:smooth val="1"/>
        </c:ser>
        <c:axId val="2125260726"/>
        <c:axId val="495365064"/>
      </c:lineChart>
      <c:catAx>
        <c:axId val="212526072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495365064"/>
      </c:catAx>
      <c:valAx>
        <c:axId val="49536506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125260726"/>
      </c:valAx>
    </c:plotArea>
    <c:legend>
      <c:legendPos val="r"/>
      <c:overlay val="0"/>
      <c:txPr>
        <a:bodyPr/>
        <a:lstStyle/>
        <a:p>
          <a:pPr lvl="0">
            <a:defRPr b="0">
              <a:solidFill>
                <a:srgbClr val="1A1A1A"/>
              </a:solidFill>
              <a:latin typeface="+mn-lt"/>
            </a:defRPr>
          </a:pPr>
        </a:p>
      </c:txPr>
    </c:legend>
    <c:plotVisOnly val="1"/>
  </c:chart>
</c:chartSpace>
</file>

<file path=xl/charts/chart2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Emissions 2005-2021</a:t>
            </a:r>
          </a:p>
        </c:rich>
      </c:tx>
      <c:layout>
        <c:manualLayout>
          <c:xMode val="edge"/>
          <c:yMode val="edge"/>
          <c:x val="0.034021406727828746"/>
          <c:y val="0.01740386628515597"/>
        </c:manualLayout>
      </c:layout>
      <c:overlay val="0"/>
    </c:title>
    <c:plotArea>
      <c:layout>
        <c:manualLayout>
          <c:xMode val="edge"/>
          <c:yMode val="edge"/>
          <c:x val="0.09706643658326143"/>
          <c:y val="0.1202247191011236"/>
          <c:w val="0.8670008417042004"/>
          <c:h val="0.7528089887640448"/>
        </c:manualLayout>
      </c:layout>
      <c:barChart>
        <c:barDir val="col"/>
        <c:grouping val="stacked"/>
        <c:ser>
          <c:idx val="0"/>
          <c:order val="0"/>
          <c:tx>
            <c:strRef>
              <c:f>Emissions!$E$17</c:f>
            </c:strRef>
          </c:tx>
          <c:spPr>
            <a:solidFill>
              <a:schemeClr val="accent1"/>
            </a:solidFill>
            <a:ln cmpd="sng">
              <a:noFill/>
            </a:ln>
          </c:spPr>
          <c:trendline>
            <c:name/>
            <c:spPr>
              <a:ln w="19050">
                <a:solidFill>
                  <a:srgbClr val="000000"/>
                </a:solidFill>
              </a:ln>
            </c:spPr>
            <c:trendlineType val="linear"/>
            <c:dispRSqr val="0"/>
            <c:dispEq val="0"/>
          </c:trendline>
          <c:cat>
            <c:strRef>
              <c:f>Emissions!$A$18:$A$34</c:f>
            </c:strRef>
          </c:cat>
          <c:val>
            <c:numRef>
              <c:f>Emissions!$E$18:$E$34</c:f>
              <c:numCache/>
            </c:numRef>
          </c:val>
        </c:ser>
        <c:ser>
          <c:idx val="1"/>
          <c:order val="1"/>
          <c:tx>
            <c:strRef>
              <c:f>Emissions!$C$17</c:f>
            </c:strRef>
          </c:tx>
          <c:spPr>
            <a:solidFill>
              <a:schemeClr val="accent2"/>
            </a:solidFill>
            <a:ln cmpd="sng">
              <a:noFill/>
            </a:ln>
          </c:spPr>
          <c:cat>
            <c:strRef>
              <c:f>Emissions!$A$18:$A$34</c:f>
            </c:strRef>
          </c:cat>
          <c:val>
            <c:numRef>
              <c:f>Emissions!$C$18:$C$34</c:f>
              <c:numCache/>
            </c:numRef>
          </c:val>
        </c:ser>
        <c:ser>
          <c:idx val="2"/>
          <c:order val="2"/>
          <c:tx>
            <c:strRef>
              <c:f>Emissions!$D$17</c:f>
            </c:strRef>
          </c:tx>
          <c:spPr>
            <a:solidFill>
              <a:srgbClr val="6DB33C"/>
            </a:solidFill>
            <a:ln cmpd="sng">
              <a:noFill/>
            </a:ln>
          </c:spPr>
          <c:dPt>
            <c:idx val="9"/>
          </c:dPt>
          <c:cat>
            <c:strRef>
              <c:f>Emissions!$A$18:$A$34</c:f>
            </c:strRef>
          </c:cat>
          <c:val>
            <c:numRef>
              <c:f>Emissions!$D$18:$D$34</c:f>
              <c:numCache/>
            </c:numRef>
          </c:val>
        </c:ser>
        <c:ser>
          <c:idx val="3"/>
          <c:order val="3"/>
          <c:tx>
            <c:strRef>
              <c:f>Emissions!$F$17</c:f>
            </c:strRef>
          </c:tx>
          <c:spPr>
            <a:solidFill>
              <a:srgbClr val="98D3ED"/>
            </a:solidFill>
            <a:ln cmpd="sng">
              <a:noFill/>
            </a:ln>
          </c:spPr>
          <c:cat>
            <c:strRef>
              <c:f>Emissions!$A$18:$A$34</c:f>
            </c:strRef>
          </c:cat>
          <c:val>
            <c:numRef>
              <c:f>Emissions!$F$18:$F$34</c:f>
              <c:numCache/>
            </c:numRef>
          </c:val>
        </c:ser>
        <c:overlap val="100"/>
        <c:axId val="2031831393"/>
        <c:axId val="535367085"/>
      </c:barChart>
      <c:lineChart>
        <c:varyColors val="0"/>
        <c:ser>
          <c:idx val="4"/>
          <c:order val="4"/>
          <c:tx>
            <c:strRef>
              <c:f>Emissions!$B$17</c:f>
            </c:strRef>
          </c:tx>
          <c:spPr>
            <a:ln cmpd="sng">
              <a:solidFill>
                <a:schemeClr val="accent2"/>
              </a:solidFill>
            </a:ln>
          </c:spPr>
          <c:marker>
            <c:symbol val="circle"/>
            <c:size val="7"/>
            <c:spPr>
              <a:solidFill>
                <a:schemeClr val="accent2"/>
              </a:solidFill>
              <a:ln cmpd="sng">
                <a:solidFill>
                  <a:schemeClr val="accent2"/>
                </a:solidFill>
              </a:ln>
            </c:spPr>
          </c:marker>
          <c:cat>
            <c:strRef>
              <c:f>Emissions!$A$18:$A$34</c:f>
            </c:strRef>
          </c:cat>
          <c:val>
            <c:numRef>
              <c:f>Emissions!$B$18:$B$34</c:f>
              <c:numCache/>
            </c:numRef>
          </c:val>
          <c:smooth val="1"/>
        </c:ser>
        <c:axId val="2031831393"/>
        <c:axId val="535367085"/>
      </c:lineChart>
      <c:catAx>
        <c:axId val="203183139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535367085"/>
      </c:catAx>
      <c:valAx>
        <c:axId val="53536708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031831393"/>
      </c:valAx>
    </c:plotArea>
    <c:legend>
      <c:legendPos val="r"/>
      <c:layout>
        <c:manualLayout>
          <c:xMode val="edge"/>
          <c:yMode val="edge"/>
          <c:x val="0.21914576574168895"/>
          <c:y val="0.9519369840997559"/>
        </c:manualLayout>
      </c:layout>
      <c:overlay val="0"/>
      <c:txPr>
        <a:bodyPr/>
        <a:lstStyle/>
        <a:p>
          <a:pPr lvl="0">
            <a:defRPr b="0" sz="1400">
              <a:solidFill>
                <a:srgbClr val="1A1A1A"/>
              </a:solidFill>
              <a:latin typeface="+mn-lt"/>
            </a:defRPr>
          </a:pPr>
        </a:p>
      </c:txPr>
    </c:legend>
    <c:plotVisOnly val="1"/>
  </c:chart>
</c:chartSpace>
</file>

<file path=xl/charts/chart2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Energy 2005-2021</a:t>
            </a:r>
          </a:p>
        </c:rich>
      </c:tx>
      <c:overlay val="0"/>
    </c:title>
    <c:plotArea>
      <c:layout>
        <c:manualLayout>
          <c:xMode val="edge"/>
          <c:yMode val="edge"/>
          <c:x val="0.1288300835654596"/>
          <c:y val="0.13112745098039216"/>
          <c:w val="0.8557190552389985"/>
          <c:h val="0.6770692703310832"/>
        </c:manualLayout>
      </c:layout>
      <c:lineChart>
        <c:varyColors val="0"/>
        <c:ser>
          <c:idx val="0"/>
          <c:order val="0"/>
          <c:tx>
            <c:strRef>
              <c:f>Energy!$B$1</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Energy!$A$2:$A$18</c:f>
            </c:strRef>
          </c:cat>
          <c:val>
            <c:numRef>
              <c:f>Energy!$B$2:$B$18</c:f>
              <c:numCache/>
            </c:numRef>
          </c:val>
          <c:smooth val="1"/>
        </c:ser>
        <c:axId val="1521869617"/>
        <c:axId val="1322054156"/>
      </c:lineChart>
      <c:catAx>
        <c:axId val="152186961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322054156"/>
      </c:catAx>
      <c:valAx>
        <c:axId val="1322054156"/>
        <c:scaling>
          <c:orientation val="minMax"/>
          <c:max val="250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Energy (GJ)</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521869617"/>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2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Emissions 2005-2021</a:t>
            </a:r>
          </a:p>
        </c:rich>
      </c:tx>
      <c:layout>
        <c:manualLayout>
          <c:xMode val="edge"/>
          <c:yMode val="edge"/>
          <c:x val="0.034021406727828746"/>
          <c:y val="0.01740386628515597"/>
        </c:manualLayout>
      </c:layout>
      <c:overlay val="0"/>
    </c:title>
    <c:plotArea>
      <c:layout>
        <c:manualLayout>
          <c:xMode val="edge"/>
          <c:yMode val="edge"/>
          <c:x val="0.12186629526462396"/>
          <c:y val="0.12022471910112359"/>
          <c:w val="0.8422009830228379"/>
          <c:h val="0.6741573033707864"/>
        </c:manualLayout>
      </c:layout>
      <c:barChart>
        <c:barDir val="col"/>
        <c:grouping val="stacked"/>
        <c:ser>
          <c:idx val="0"/>
          <c:order val="0"/>
          <c:tx>
            <c:strRef>
              <c:f>Emissions!$E$17</c:f>
            </c:strRef>
          </c:tx>
          <c:spPr>
            <a:solidFill>
              <a:schemeClr val="accent1"/>
            </a:solidFill>
            <a:ln cmpd="sng">
              <a:noFill/>
            </a:ln>
          </c:spPr>
          <c:trendline>
            <c:name/>
            <c:spPr>
              <a:ln w="19050">
                <a:solidFill>
                  <a:srgbClr val="000000"/>
                </a:solidFill>
              </a:ln>
            </c:spPr>
            <c:trendlineType val="linear"/>
            <c:dispRSqr val="0"/>
            <c:dispEq val="0"/>
          </c:trendline>
          <c:cat>
            <c:strRef>
              <c:f>Emissions!$A$18:$A$34</c:f>
            </c:strRef>
          </c:cat>
          <c:val>
            <c:numRef>
              <c:f>Emissions!$E$18:$E$34</c:f>
              <c:numCache/>
            </c:numRef>
          </c:val>
        </c:ser>
        <c:ser>
          <c:idx val="1"/>
          <c:order val="1"/>
          <c:tx>
            <c:strRef>
              <c:f>Emissions!$C$17</c:f>
            </c:strRef>
          </c:tx>
          <c:spPr>
            <a:solidFill>
              <a:schemeClr val="accent2"/>
            </a:solidFill>
            <a:ln cmpd="sng">
              <a:noFill/>
            </a:ln>
          </c:spPr>
          <c:cat>
            <c:strRef>
              <c:f>Emissions!$A$18:$A$34</c:f>
            </c:strRef>
          </c:cat>
          <c:val>
            <c:numRef>
              <c:f>Emissions!$C$18:$C$34</c:f>
              <c:numCache/>
            </c:numRef>
          </c:val>
        </c:ser>
        <c:ser>
          <c:idx val="2"/>
          <c:order val="2"/>
          <c:tx>
            <c:strRef>
              <c:f>Emissions!$D$17</c:f>
            </c:strRef>
          </c:tx>
          <c:spPr>
            <a:solidFill>
              <a:srgbClr val="6DB33C"/>
            </a:solidFill>
            <a:ln cmpd="sng">
              <a:noFill/>
            </a:ln>
          </c:spPr>
          <c:dPt>
            <c:idx val="9"/>
          </c:dPt>
          <c:cat>
            <c:strRef>
              <c:f>Emissions!$A$18:$A$34</c:f>
            </c:strRef>
          </c:cat>
          <c:val>
            <c:numRef>
              <c:f>Emissions!$D$18:$D$34</c:f>
              <c:numCache/>
            </c:numRef>
          </c:val>
        </c:ser>
        <c:ser>
          <c:idx val="3"/>
          <c:order val="3"/>
          <c:tx>
            <c:strRef>
              <c:f>Emissions!$F$17</c:f>
            </c:strRef>
          </c:tx>
          <c:spPr>
            <a:solidFill>
              <a:srgbClr val="98D3ED"/>
            </a:solidFill>
            <a:ln cmpd="sng">
              <a:noFill/>
            </a:ln>
          </c:spPr>
          <c:cat>
            <c:strRef>
              <c:f>Emissions!$A$18:$A$34</c:f>
            </c:strRef>
          </c:cat>
          <c:val>
            <c:numRef>
              <c:f>Emissions!$F$18:$F$34</c:f>
              <c:numCache/>
            </c:numRef>
          </c:val>
        </c:ser>
        <c:overlap val="100"/>
        <c:axId val="1151533527"/>
        <c:axId val="783813106"/>
      </c:barChart>
      <c:lineChart>
        <c:varyColors val="0"/>
        <c:ser>
          <c:idx val="4"/>
          <c:order val="4"/>
          <c:tx>
            <c:strRef>
              <c:f>Emissions!$B$17</c:f>
            </c:strRef>
          </c:tx>
          <c:spPr>
            <a:ln cmpd="sng">
              <a:solidFill>
                <a:schemeClr val="accent2"/>
              </a:solidFill>
            </a:ln>
          </c:spPr>
          <c:marker>
            <c:symbol val="circle"/>
            <c:size val="7"/>
            <c:spPr>
              <a:solidFill>
                <a:schemeClr val="accent2"/>
              </a:solidFill>
              <a:ln cmpd="sng">
                <a:solidFill>
                  <a:schemeClr val="accent2"/>
                </a:solidFill>
              </a:ln>
            </c:spPr>
          </c:marker>
          <c:cat>
            <c:strRef>
              <c:f>Emissions!$A$18:$A$34</c:f>
            </c:strRef>
          </c:cat>
          <c:val>
            <c:numRef>
              <c:f>Emissions!$B$18:$B$34</c:f>
              <c:numCache/>
            </c:numRef>
          </c:val>
          <c:smooth val="1"/>
        </c:ser>
        <c:axId val="1151533527"/>
        <c:axId val="783813106"/>
      </c:lineChart>
      <c:catAx>
        <c:axId val="115153352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783813106"/>
      </c:catAx>
      <c:valAx>
        <c:axId val="7838131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151533527"/>
      </c:valAx>
    </c:plotArea>
    <c:legend>
      <c:legendPos val="r"/>
      <c:layout>
        <c:manualLayout>
          <c:xMode val="edge"/>
          <c:yMode val="edge"/>
          <c:x val="0.1049396376079842"/>
          <c:y val="0.9384538380323402"/>
        </c:manualLayout>
      </c:layout>
      <c:overlay val="0"/>
      <c:txPr>
        <a:bodyPr/>
        <a:lstStyle/>
        <a:p>
          <a:pPr lvl="0">
            <a:defRPr b="0" sz="1400">
              <a:solidFill>
                <a:srgbClr val="1A1A1A"/>
              </a:solidFill>
              <a:latin typeface="+mn-lt"/>
            </a:defRPr>
          </a:pPr>
        </a:p>
      </c:txPr>
    </c:legend>
    <c:plotVisOnly val="1"/>
  </c:chart>
</c:chartSpace>
</file>

<file path=xl/charts/chart2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strRef>
              <c:f>Indicators!$C$9</c:f>
            </c:strRef>
          </c:tx>
          <c:spPr>
            <a:ln cmpd="sng" w="38100">
              <a:solidFill>
                <a:srgbClr val="608F66"/>
              </a:solidFill>
            </a:ln>
          </c:spPr>
          <c:marker>
            <c:symbol val="circle"/>
            <c:size val="10"/>
            <c:spPr>
              <a:solidFill>
                <a:srgbClr val="608F66"/>
              </a:solidFill>
              <a:ln cmpd="sng">
                <a:solidFill>
                  <a:srgbClr val="608F66"/>
                </a:solidFill>
              </a:ln>
            </c:spPr>
          </c:marker>
          <c:cat>
            <c:strRef>
              <c:f>Indicators!$A$10:$A$12</c:f>
            </c:strRef>
          </c:cat>
          <c:val>
            <c:numRef>
              <c:f>Indicators!$C$10:$C$12</c:f>
              <c:numCache/>
            </c:numRef>
          </c:val>
          <c:smooth val="0"/>
        </c:ser>
        <c:ser>
          <c:idx val="1"/>
          <c:order val="1"/>
          <c:tx>
            <c:strRef>
              <c:f>Indicators!$H$9</c:f>
            </c:strRef>
          </c:tx>
          <c:spPr>
            <a:ln cmpd="sng" w="38100">
              <a:solidFill>
                <a:srgbClr val="274766"/>
              </a:solidFill>
            </a:ln>
          </c:spPr>
          <c:marker>
            <c:symbol val="circle"/>
            <c:size val="10"/>
            <c:spPr>
              <a:solidFill>
                <a:srgbClr val="274766"/>
              </a:solidFill>
              <a:ln cmpd="sng">
                <a:solidFill>
                  <a:srgbClr val="274766"/>
                </a:solidFill>
              </a:ln>
            </c:spPr>
          </c:marker>
          <c:cat>
            <c:strRef>
              <c:f>Indicators!$A$10:$A$12</c:f>
            </c:strRef>
          </c:cat>
          <c:val>
            <c:numRef>
              <c:f>Indicators!$H$10:$H$12</c:f>
              <c:numCache/>
            </c:numRef>
          </c:val>
          <c:smooth val="0"/>
        </c:ser>
        <c:ser>
          <c:idx val="2"/>
          <c:order val="2"/>
          <c:tx>
            <c:strRef>
              <c:f>Indicators!$M$9</c:f>
            </c:strRef>
          </c:tx>
          <c:spPr>
            <a:ln cmpd="sng" w="38100">
              <a:solidFill>
                <a:srgbClr val="DFA398"/>
              </a:solidFill>
            </a:ln>
          </c:spPr>
          <c:marker>
            <c:symbol val="circle"/>
            <c:size val="10"/>
            <c:spPr>
              <a:solidFill>
                <a:srgbClr val="DFA398"/>
              </a:solidFill>
              <a:ln cmpd="sng">
                <a:solidFill>
                  <a:srgbClr val="DFA398"/>
                </a:solidFill>
              </a:ln>
            </c:spPr>
          </c:marker>
          <c:cat>
            <c:strRef>
              <c:f>Indicators!$A$10:$A$12</c:f>
            </c:strRef>
          </c:cat>
          <c:val>
            <c:numRef>
              <c:f>Indicators!$M$10:$M$12</c:f>
              <c:numCache/>
            </c:numRef>
          </c:val>
          <c:smooth val="0"/>
        </c:ser>
        <c:axId val="647384523"/>
        <c:axId val="443425400"/>
      </c:lineChart>
      <c:catAx>
        <c:axId val="64738452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443425400"/>
      </c:catAx>
      <c:valAx>
        <c:axId val="44342540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647384523"/>
      </c:valAx>
    </c:plotArea>
    <c:legend>
      <c:legendPos val="r"/>
      <c:overlay val="0"/>
      <c:txPr>
        <a:bodyPr/>
        <a:lstStyle/>
        <a:p>
          <a:pPr lvl="0">
            <a:defRPr b="0">
              <a:solidFill>
                <a:srgbClr val="1A1A1A"/>
              </a:solidFill>
              <a:latin typeface="+mn-lt"/>
            </a:defRPr>
          </a:pPr>
        </a:p>
      </c:txPr>
    </c:legend>
    <c:plotVisOnly val="1"/>
  </c:chart>
</c:chartSpace>
</file>

<file path=xl/charts/chart2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Savings per Sector</a:t>
            </a:r>
          </a:p>
        </c:rich>
      </c:tx>
      <c:layout>
        <c:manualLayout>
          <c:xMode val="edge"/>
          <c:yMode val="edge"/>
          <c:x val="0.021505376344086023"/>
          <c:y val="0.026037982704535483"/>
        </c:manualLayout>
      </c:layout>
      <c:overlay val="0"/>
    </c:title>
    <c:plotArea>
      <c:layout>
        <c:manualLayout>
          <c:xMode val="edge"/>
          <c:yMode val="edge"/>
          <c:x val="0.008602150537634409"/>
          <c:y val="0.0660377358490566"/>
          <c:w val="0.9913978494623656"/>
          <c:h val="0.7730580088317944"/>
        </c:manualLayout>
      </c:layout>
      <c:doughnutChart>
        <c:varyColors val="1"/>
        <c:ser>
          <c:idx val="0"/>
          <c:order val="0"/>
          <c:tx>
            <c:strRef>
              <c:f>ActionIndicators!$D$2</c:f>
            </c:strRef>
          </c:tx>
          <c:dPt>
            <c:idx val="0"/>
            <c:spPr>
              <a:solidFill>
                <a:srgbClr val="608F66"/>
              </a:solidFill>
            </c:spPr>
          </c:dPt>
          <c:dPt>
            <c:idx val="1"/>
            <c:spPr>
              <a:solidFill>
                <a:srgbClr val="274766"/>
              </a:solidFill>
            </c:spPr>
          </c:dPt>
          <c:dPt>
            <c:idx val="2"/>
            <c:spPr>
              <a:solidFill>
                <a:srgbClr val="DFA398"/>
              </a:solidFill>
            </c:spPr>
          </c:dPt>
          <c:dPt>
            <c:idx val="3"/>
            <c:spPr>
              <a:solidFill>
                <a:srgbClr val="AB9084"/>
              </a:solidFill>
            </c:spPr>
          </c:dPt>
          <c:dPt>
            <c:idx val="4"/>
            <c:spPr>
              <a:solidFill>
                <a:srgbClr val="613942"/>
              </a:solidFill>
            </c:spPr>
          </c:dPt>
          <c:dPt>
            <c:idx val="5"/>
            <c:spPr>
              <a:solidFill>
                <a:srgbClr val="E68CA5"/>
              </a:solidFill>
            </c:spPr>
          </c:dPt>
          <c:dLbls>
            <c:dLbl>
              <c:idx val="0"/>
              <c:tx>
                <c:rich>
                  <a:bodyPr/>
                  <a:lstStyle/>
                  <a:p>
                    <a:pPr lvl="0">
                      <a:defRPr b="0" sz="1400">
                        <a:solidFill>
                          <a:srgbClr val="000000"/>
                        </a:solidFill>
                        <a:latin typeface="+mn-lt"/>
                      </a:defRPr>
                    </a:pPr>
                    <a:r>
                      <a:rPr b="0" sz="1400">
                        <a:solidFill>
                          <a:srgbClr val="000000"/>
                        </a:solidFill>
                        <a:latin typeface="+mn-lt"/>
                      </a:rPr>
                      <a:t>Building</a:t>
                    </a:r>
                  </a:p>
                </c:rich>
              </c:tx>
              <c:showLegendKey val="0"/>
              <c:showVal val="0"/>
              <c:showCatName val="0"/>
              <c:showSerName val="0"/>
              <c:showPercent val="0"/>
              <c:showBubbleSize val="0"/>
            </c:dLbl>
            <c:dLbl>
              <c:idx val="1"/>
              <c:tx>
                <c:rich>
                  <a:bodyPr/>
                  <a:lstStyle/>
                  <a:p>
                    <a:pPr lvl="0">
                      <a:defRPr b="0" sz="1400">
                        <a:solidFill>
                          <a:srgbClr val="000000"/>
                        </a:solidFill>
                        <a:latin typeface="+mn-lt"/>
                      </a:defRPr>
                    </a:pPr>
                    <a:r>
                      <a:rPr b="0" sz="1400">
                        <a:solidFill>
                          <a:srgbClr val="000000"/>
                        </a:solidFill>
                        <a:latin typeface="+mn-lt"/>
                      </a:rPr>
                      <a:t>Fleet </a:t>
                    </a:r>
                  </a:p>
                </c:rich>
              </c:tx>
              <c:showLegendKey val="0"/>
              <c:showVal val="0"/>
              <c:showCatName val="0"/>
              <c:showSerName val="0"/>
              <c:showPercent val="0"/>
              <c:showBubbleSize val="0"/>
            </c:dLbl>
            <c:dLbl>
              <c:idx val="3"/>
              <c:tx>
                <c:rich>
                  <a:bodyPr/>
                  <a:lstStyle/>
                  <a:p>
                    <a:pPr lvl="0">
                      <a:defRPr b="0" sz="1400">
                        <a:solidFill>
                          <a:srgbClr val="000000"/>
                        </a:solidFill>
                        <a:latin typeface="+mn-lt"/>
                      </a:defRPr>
                    </a:pPr>
                    <a:r>
                      <a:rPr b="0" sz="14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ActionIndicators!$A$3:$A$8</c:f>
            </c:strRef>
          </c:cat>
          <c:val>
            <c:numRef>
              <c:f>ActionIndicators!$D$3:$D$8</c:f>
              <c:numCache/>
            </c:numRef>
          </c:val>
        </c:ser>
        <c:dLbls>
          <c:showLegendKey val="0"/>
          <c:showVal val="0"/>
          <c:showCatName val="0"/>
          <c:showSerName val="0"/>
          <c:showPercent val="0"/>
          <c:showBubbleSize val="0"/>
        </c:dLbls>
        <c:holeSize val="50"/>
      </c:doughnutChart>
    </c:plotArea>
    <c:legend>
      <c:legendPos val="b"/>
      <c:overlay val="0"/>
      <c:txPr>
        <a:bodyPr/>
        <a:lstStyle/>
        <a:p>
          <a:pPr lvl="0">
            <a:defRPr b="0">
              <a:solidFill>
                <a:srgbClr val="1A1A1A"/>
              </a:solidFill>
              <a:latin typeface="+mn-lt"/>
            </a:defRPr>
          </a:pPr>
        </a:p>
      </c:txPr>
    </c:legend>
    <c:plotVisOnly val="1"/>
  </c:chart>
</c:chartSpace>
</file>

<file path=xl/charts/chart2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Action Results</a:t>
            </a:r>
          </a:p>
        </c:rich>
      </c:tx>
      <c:layout>
        <c:manualLayout>
          <c:xMode val="edge"/>
          <c:yMode val="edge"/>
          <c:x val="0.026200564971751415"/>
          <c:y val="0.03306973893771777"/>
        </c:manualLayout>
      </c:layout>
      <c:overlay val="0"/>
    </c:title>
    <c:plotArea>
      <c:layout>
        <c:manualLayout>
          <c:xMode val="edge"/>
          <c:yMode val="edge"/>
          <c:x val="0.24234693877551017"/>
          <c:y val="0.07951482479784366"/>
          <c:w val="0.7176870748299319"/>
          <c:h val="0.8005390835579514"/>
        </c:manualLayout>
      </c:layout>
      <c:barChart>
        <c:barDir val="bar"/>
        <c:ser>
          <c:idx val="0"/>
          <c:order val="0"/>
          <c:tx>
            <c:strRef>
              <c:f>ActionIndicators!$D$2</c:f>
            </c:strRef>
          </c:tx>
          <c:spPr>
            <a:solidFill>
              <a:schemeClr val="accent1"/>
            </a:solidFill>
            <a:ln cmpd="sng">
              <a:noFill/>
            </a:ln>
          </c:spPr>
          <c:cat>
            <c:strRef>
              <c:f>ActionIndicators!$A$3:$A$8</c:f>
            </c:strRef>
          </c:cat>
          <c:val>
            <c:numRef>
              <c:f>ActionIndicators!$D$3:$D$8</c:f>
              <c:numCache/>
            </c:numRef>
          </c:val>
        </c:ser>
        <c:ser>
          <c:idx val="1"/>
          <c:order val="1"/>
          <c:tx>
            <c:strRef>
              <c:f>ActionIndicators!$H$2</c:f>
            </c:strRef>
          </c:tx>
          <c:spPr>
            <a:solidFill>
              <a:schemeClr val="accent2"/>
            </a:solidFill>
            <a:ln cmpd="sng">
              <a:noFill/>
            </a:ln>
          </c:spPr>
          <c:cat>
            <c:strRef>
              <c:f>ActionIndicators!$A$3:$A$8</c:f>
            </c:strRef>
          </c:cat>
          <c:val>
            <c:numRef>
              <c:f>ActionIndicators!$H$3:$H$8</c:f>
              <c:numCache/>
            </c:numRef>
          </c:val>
        </c:ser>
        <c:axId val="1717979906"/>
        <c:axId val="647584794"/>
      </c:barChart>
      <c:catAx>
        <c:axId val="1717979906"/>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sz="1400">
                <a:solidFill>
                  <a:srgbClr val="000000"/>
                </a:solidFill>
                <a:latin typeface="+mn-lt"/>
              </a:defRPr>
            </a:pPr>
          </a:p>
        </c:txPr>
        <c:crossAx val="647584794"/>
      </c:catAx>
      <c:valAx>
        <c:axId val="647584794"/>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717979906"/>
        <c:crosses val="max"/>
      </c:valAx>
    </c:plotArea>
    <c:legend>
      <c:legendPos val="r"/>
      <c:layout>
        <c:manualLayout>
          <c:xMode val="edge"/>
          <c:yMode val="edge"/>
          <c:x val="0.007248355863984963"/>
          <c:y val="0.9532991390364536"/>
        </c:manualLayout>
      </c:layout>
      <c:overlay val="0"/>
      <c:txPr>
        <a:bodyPr/>
        <a:lstStyle/>
        <a:p>
          <a:pPr lvl="0">
            <a:defRPr b="0">
              <a:solidFill>
                <a:srgbClr val="1A1A1A"/>
              </a:solidFill>
              <a:latin typeface="+mn-lt"/>
            </a:defRPr>
          </a:pPr>
        </a:p>
      </c:txPr>
    </c:legend>
    <c:plotVisOnly val="1"/>
  </c:chart>
</c:chartSpace>
</file>

<file path=xl/charts/chart2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Emissions Model Action Plan </a:t>
            </a:r>
          </a:p>
        </c:rich>
      </c:tx>
      <c:overlay val="0"/>
    </c:title>
    <c:plotArea>
      <c:layout/>
      <c:lineChart>
        <c:ser>
          <c:idx val="0"/>
          <c:order val="0"/>
          <c:tx>
            <c:v>Business as usual Pathway</c:v>
          </c:tx>
          <c:spPr>
            <a:ln cmpd="sng" w="38100">
              <a:solidFill>
                <a:srgbClr val="608F66"/>
              </a:solidFill>
            </a:ln>
          </c:spPr>
          <c:marker>
            <c:symbol val="circle"/>
            <c:size val="7"/>
            <c:spPr>
              <a:solidFill>
                <a:srgbClr val="608F66"/>
              </a:solidFill>
              <a:ln cmpd="sng">
                <a:solidFill>
                  <a:srgbClr val="608F66"/>
                </a:solidFill>
              </a:ln>
            </c:spPr>
          </c:marker>
          <c:cat>
            <c:strRef>
              <c:f>'Times Series'!$A$2:$A$47</c:f>
            </c:strRef>
          </c:cat>
          <c:val>
            <c:numRef>
              <c:f>'Times Series'!$C$2:$C$47</c:f>
              <c:numCache/>
            </c:numRef>
          </c:val>
          <c:smooth val="0"/>
        </c:ser>
        <c:ser>
          <c:idx val="1"/>
          <c:order val="1"/>
          <c:tx>
            <c:v>Target Pathway</c:v>
          </c:tx>
          <c:spPr>
            <a:ln cmpd="sng" w="38100">
              <a:solidFill>
                <a:srgbClr val="274766"/>
              </a:solidFill>
            </a:ln>
          </c:spPr>
          <c:marker>
            <c:symbol val="circle"/>
            <c:size val="7"/>
            <c:spPr>
              <a:solidFill>
                <a:srgbClr val="274766"/>
              </a:solidFill>
              <a:ln cmpd="sng">
                <a:solidFill>
                  <a:srgbClr val="274766"/>
                </a:solidFill>
              </a:ln>
            </c:spPr>
          </c:marker>
          <c:cat>
            <c:strRef>
              <c:f>'Times Series'!$A$2:$A$47</c:f>
            </c:strRef>
          </c:cat>
          <c:val>
            <c:numRef>
              <c:f>'Times Series'!$H$2:$H$47</c:f>
              <c:numCache/>
            </c:numRef>
          </c:val>
          <c:smooth val="0"/>
        </c:ser>
        <c:ser>
          <c:idx val="2"/>
          <c:order val="2"/>
          <c:tx>
            <c:v>Action Pathway</c:v>
          </c:tx>
          <c:spPr>
            <a:ln cmpd="sng" w="38100">
              <a:solidFill>
                <a:srgbClr val="DFA398"/>
              </a:solidFill>
            </a:ln>
          </c:spPr>
          <c:marker>
            <c:symbol val="circle"/>
            <c:size val="7"/>
            <c:spPr>
              <a:solidFill>
                <a:srgbClr val="DFA398"/>
              </a:solidFill>
              <a:ln cmpd="sng">
                <a:solidFill>
                  <a:srgbClr val="DFA398"/>
                </a:solidFill>
              </a:ln>
            </c:spPr>
          </c:marker>
          <c:cat>
            <c:strRef>
              <c:f>'Times Series'!$A$2:$A$47</c:f>
            </c:strRef>
          </c:cat>
          <c:val>
            <c:numRef>
              <c:f>'Times Series'!$M$2:$M$47</c:f>
              <c:numCache/>
            </c:numRef>
          </c:val>
          <c:smooth val="0"/>
        </c:ser>
        <c:axId val="1975171193"/>
        <c:axId val="1082232130"/>
      </c:lineChart>
      <c:catAx>
        <c:axId val="197517119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082232130"/>
      </c:catAx>
      <c:valAx>
        <c:axId val="108223213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975171193"/>
      </c:valAx>
    </c:plotArea>
    <c:legend>
      <c:legendPos val="b"/>
      <c:overlay val="0"/>
      <c:txPr>
        <a:bodyPr/>
        <a:lstStyle/>
        <a:p>
          <a:pPr lvl="0">
            <a:defRPr b="0">
              <a:solidFill>
                <a:srgbClr val="1A1A1A"/>
              </a:solidFill>
              <a:latin typeface="+mn-lt"/>
            </a:defRPr>
          </a:pPr>
        </a:p>
      </c:txPr>
    </c:legend>
    <c:plotVisOnly val="1"/>
  </c:chart>
</c:chartSpace>
</file>

<file path=xl/charts/chart2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Emissions Model Action Plan </a:t>
            </a:r>
          </a:p>
        </c:rich>
      </c:tx>
      <c:overlay val="0"/>
    </c:title>
    <c:plotArea>
      <c:layout/>
      <c:areaChart>
        <c:ser>
          <c:idx val="0"/>
          <c:order val="0"/>
          <c:tx>
            <c:strRef>
              <c:f>'Times Series'!$W$1</c:f>
            </c:strRef>
          </c:tx>
          <c:spPr>
            <a:solidFill>
              <a:srgbClr val="608F66">
                <a:alpha val="30000"/>
              </a:srgbClr>
            </a:solidFill>
            <a:ln cmpd="sng" w="38100">
              <a:solidFill>
                <a:srgbClr val="608F66"/>
              </a:solidFill>
            </a:ln>
          </c:spPr>
          <c:cat>
            <c:strRef>
              <c:f>'Times Series'!$A$2:$A$47</c:f>
            </c:strRef>
          </c:cat>
          <c:val>
            <c:numRef>
              <c:f>'Times Series'!$W$2:$W$47</c:f>
              <c:numCache/>
            </c:numRef>
          </c:val>
        </c:ser>
        <c:ser>
          <c:idx val="1"/>
          <c:order val="1"/>
          <c:tx>
            <c:strRef>
              <c:f>'Times Series'!$X$1</c:f>
            </c:strRef>
          </c:tx>
          <c:spPr>
            <a:solidFill>
              <a:srgbClr val="274766">
                <a:alpha val="30000"/>
              </a:srgbClr>
            </a:solidFill>
            <a:ln cmpd="sng" w="38100">
              <a:solidFill>
                <a:srgbClr val="274766"/>
              </a:solidFill>
            </a:ln>
          </c:spPr>
          <c:cat>
            <c:strRef>
              <c:f>'Times Series'!$A$2:$A$47</c:f>
            </c:strRef>
          </c:cat>
          <c:val>
            <c:numRef>
              <c:f>'Times Series'!$X$2:$X$47</c:f>
              <c:numCache/>
            </c:numRef>
          </c:val>
        </c:ser>
        <c:ser>
          <c:idx val="2"/>
          <c:order val="2"/>
          <c:tx>
            <c:strRef>
              <c:f>'Times Series'!$Y$1</c:f>
            </c:strRef>
          </c:tx>
          <c:spPr>
            <a:solidFill>
              <a:srgbClr val="DFA398">
                <a:alpha val="30000"/>
              </a:srgbClr>
            </a:solidFill>
            <a:ln cmpd="sng" w="38100">
              <a:solidFill>
                <a:srgbClr val="DFA398"/>
              </a:solidFill>
            </a:ln>
          </c:spPr>
          <c:cat>
            <c:strRef>
              <c:f>'Times Series'!$A$2:$A$47</c:f>
            </c:strRef>
          </c:cat>
          <c:val>
            <c:numRef>
              <c:f>'Times Series'!$Y$2:$Y$47</c:f>
              <c:numCache/>
            </c:numRef>
          </c:val>
        </c:ser>
        <c:axId val="559114084"/>
        <c:axId val="676183388"/>
      </c:areaChart>
      <c:catAx>
        <c:axId val="55911408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676183388"/>
      </c:catAx>
      <c:valAx>
        <c:axId val="67618338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559114084"/>
      </c:valAx>
      <c:areaChart>
        <c:ser>
          <c:idx val="3"/>
          <c:order val="3"/>
          <c:tx>
            <c:strRef>
              <c:f>'Times Series'!$AB$1</c:f>
            </c:strRef>
          </c:tx>
          <c:spPr>
            <a:solidFill>
              <a:srgbClr val="AB9084">
                <a:alpha val="30000"/>
              </a:srgbClr>
            </a:solidFill>
            <a:ln cmpd="sng">
              <a:solidFill>
                <a:srgbClr val="AB9084"/>
              </a:solidFill>
            </a:ln>
          </c:spPr>
          <c:cat>
            <c:strRef>
              <c:f>'Times Series'!$A$2:$A$47</c:f>
            </c:strRef>
          </c:cat>
          <c:val>
            <c:numRef>
              <c:f>'Times Series'!$AB$2:$AB$47</c:f>
              <c:numCache/>
            </c:numRef>
          </c:val>
        </c:ser>
        <c:axId val="1959688829"/>
        <c:axId val="1144434056"/>
      </c:areaChart>
      <c:catAx>
        <c:axId val="1959688829"/>
        <c:scaling>
          <c:orientation val="minMax"/>
        </c:scaling>
        <c:delete val="1"/>
        <c:axPos val="b"/>
        <c:numFmt formatCode="General" sourceLinked="1"/>
        <c:majorTickMark val="none"/>
        <c:minorTickMark val="none"/>
        <c:spPr>
          <a:ln>
            <a:noFill/>
          </a:ln>
        </c:spPr>
        <c:txPr>
          <a:bodyPr/>
          <a:lstStyle/>
          <a:p>
            <a:pPr lvl="0">
              <a:defRPr b="0">
                <a:solidFill>
                  <a:srgbClr val="000000"/>
                </a:solidFill>
                <a:latin typeface="+mn-lt"/>
              </a:defRPr>
            </a:pPr>
          </a:p>
        </c:txPr>
        <c:crossAx val="1144434056"/>
      </c:catAx>
      <c:valAx>
        <c:axId val="1144434056"/>
        <c:scaling>
          <c:orientation val="minMax"/>
          <c:max val="1.0"/>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959688829"/>
        <c:crosses val="max"/>
      </c:valAx>
    </c:plotArea>
    <c:legend>
      <c:legendPos val="b"/>
      <c:overlay val="0"/>
      <c:txPr>
        <a:bodyPr/>
        <a:lstStyle/>
        <a:p>
          <a:pPr lvl="0">
            <a:defRPr b="0">
              <a:solidFill>
                <a:srgbClr val="1A1A1A"/>
              </a:solidFill>
              <a:latin typeface="+mn-lt"/>
            </a:defRPr>
          </a:pPr>
        </a:p>
      </c:txPr>
    </c:legend>
    <c:plotVisOnly val="1"/>
  </c:chart>
</c:chartSpace>
</file>

<file path=xl/charts/chart2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Action Results</a:t>
            </a:r>
          </a:p>
        </c:rich>
      </c:tx>
      <c:layout>
        <c:manualLayout>
          <c:xMode val="edge"/>
          <c:yMode val="edge"/>
          <c:x val="0.026200564971751415"/>
          <c:y val="0.03306973893771777"/>
        </c:manualLayout>
      </c:layout>
      <c:overlay val="0"/>
    </c:title>
    <c:plotArea>
      <c:layout>
        <c:manualLayout>
          <c:xMode val="edge"/>
          <c:yMode val="edge"/>
          <c:x val="0.24234693877551017"/>
          <c:y val="0.07951482479784366"/>
          <c:w val="0.7176870748299319"/>
          <c:h val="0.7574123989218329"/>
        </c:manualLayout>
      </c:layout>
      <c:barChart>
        <c:barDir val="bar"/>
        <c:ser>
          <c:idx val="0"/>
          <c:order val="0"/>
          <c:tx>
            <c:strRef>
              <c:f>ActionIndicators!$D$2</c:f>
            </c:strRef>
          </c:tx>
          <c:spPr>
            <a:solidFill>
              <a:schemeClr val="accent1"/>
            </a:solidFill>
            <a:ln cmpd="sng">
              <a:noFill/>
            </a:ln>
          </c:spPr>
          <c:cat>
            <c:strRef>
              <c:f>ActionIndicators!$A$3:$A$8</c:f>
            </c:strRef>
          </c:cat>
          <c:val>
            <c:numRef>
              <c:f>ActionIndicators!$D$3:$D$8</c:f>
              <c:numCache/>
            </c:numRef>
          </c:val>
        </c:ser>
        <c:ser>
          <c:idx val="1"/>
          <c:order val="1"/>
          <c:tx>
            <c:strRef>
              <c:f>ActionIndicators!$H$2</c:f>
            </c:strRef>
          </c:tx>
          <c:spPr>
            <a:solidFill>
              <a:schemeClr val="accent2"/>
            </a:solidFill>
            <a:ln cmpd="sng">
              <a:noFill/>
            </a:ln>
          </c:spPr>
          <c:cat>
            <c:strRef>
              <c:f>ActionIndicators!$A$3:$A$8</c:f>
            </c:strRef>
          </c:cat>
          <c:val>
            <c:numRef>
              <c:f>ActionIndicators!$H$3:$H$8</c:f>
              <c:numCache/>
            </c:numRef>
          </c:val>
        </c:ser>
        <c:axId val="37859357"/>
        <c:axId val="1105438394"/>
      </c:barChart>
      <c:catAx>
        <c:axId val="37859357"/>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sz="1400">
                <a:solidFill>
                  <a:srgbClr val="000000"/>
                </a:solidFill>
                <a:latin typeface="+mn-lt"/>
              </a:defRPr>
            </a:pPr>
          </a:p>
        </c:txPr>
        <c:crossAx val="1105438394"/>
      </c:catAx>
      <c:valAx>
        <c:axId val="1105438394"/>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Per Capita Emissions Savings (TCO2e)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37859357"/>
        <c:crosses val="max"/>
      </c:valAx>
    </c:plotArea>
    <c:legend>
      <c:legendPos val="r"/>
      <c:layout>
        <c:manualLayout>
          <c:xMode val="edge"/>
          <c:yMode val="edge"/>
          <c:x val="0.007248355863984963"/>
          <c:y val="0.9532991390364536"/>
        </c:manualLayout>
      </c:layout>
      <c:overlay val="0"/>
      <c:txPr>
        <a:bodyPr/>
        <a:lstStyle/>
        <a:p>
          <a:pPr lvl="0">
            <a:defRPr b="0">
              <a:solidFill>
                <a:srgbClr val="1A1A1A"/>
              </a:solidFill>
              <a:latin typeface="+mn-lt"/>
            </a:defRPr>
          </a:pPr>
        </a:p>
      </c:txPr>
    </c:legend>
    <c:plotVisOnly val="1"/>
  </c:chart>
</c:chartSpace>
</file>

<file path=xl/charts/chart2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Savings Per Action</a:t>
            </a:r>
          </a:p>
        </c:rich>
      </c:tx>
      <c:layout>
        <c:manualLayout>
          <c:xMode val="edge"/>
          <c:yMode val="edge"/>
          <c:x val="0.021505376344086023"/>
          <c:y val="0.026037982704535483"/>
        </c:manualLayout>
      </c:layout>
      <c:overlay val="0"/>
    </c:title>
    <c:plotArea>
      <c:layout>
        <c:manualLayout>
          <c:xMode val="edge"/>
          <c:yMode val="edge"/>
          <c:x val="0.008602150537634409"/>
          <c:y val="0.0660377358490566"/>
          <c:w val="0.9913978494623656"/>
          <c:h val="0.7730580088317944"/>
        </c:manualLayout>
      </c:layout>
      <c:doughnutChart>
        <c:varyColors val="1"/>
        <c:ser>
          <c:idx val="0"/>
          <c:order val="0"/>
          <c:tx>
            <c:strRef>
              <c:f>ActionIndicators!$D$2</c:f>
            </c:strRef>
          </c:tx>
          <c:dPt>
            <c:idx val="0"/>
            <c:spPr>
              <a:solidFill>
                <a:srgbClr val="608F66"/>
              </a:solidFill>
            </c:spPr>
          </c:dPt>
          <c:dPt>
            <c:idx val="1"/>
            <c:spPr>
              <a:solidFill>
                <a:srgbClr val="274766"/>
              </a:solidFill>
            </c:spPr>
          </c:dPt>
          <c:dPt>
            <c:idx val="2"/>
            <c:spPr>
              <a:solidFill>
                <a:srgbClr val="DFA398"/>
              </a:solidFill>
            </c:spPr>
          </c:dPt>
          <c:dPt>
            <c:idx val="3"/>
            <c:spPr>
              <a:solidFill>
                <a:srgbClr val="AB9084"/>
              </a:solidFill>
            </c:spPr>
          </c:dPt>
          <c:dPt>
            <c:idx val="4"/>
            <c:spPr>
              <a:solidFill>
                <a:srgbClr val="613942"/>
              </a:solidFill>
            </c:spPr>
          </c:dPt>
          <c:dPt>
            <c:idx val="5"/>
            <c:spPr>
              <a:solidFill>
                <a:srgbClr val="E68CA5"/>
              </a:solidFill>
            </c:spPr>
          </c:dPt>
          <c:dLbls>
            <c:dLbl>
              <c:idx val="0"/>
              <c:tx>
                <c:rich>
                  <a:bodyPr/>
                  <a:lstStyle/>
                  <a:p>
                    <a:pPr lvl="0">
                      <a:defRPr b="0" sz="1400">
                        <a:solidFill>
                          <a:srgbClr val="000000"/>
                        </a:solidFill>
                        <a:latin typeface="+mn-lt"/>
                      </a:defRPr>
                    </a:pPr>
                    <a:r>
                      <a:rPr b="0" sz="1400">
                        <a:solidFill>
                          <a:srgbClr val="000000"/>
                        </a:solidFill>
                        <a:latin typeface="+mn-lt"/>
                      </a:rPr>
                      <a:t>Building</a:t>
                    </a:r>
                  </a:p>
                </c:rich>
              </c:tx>
              <c:showLegendKey val="0"/>
              <c:showVal val="0"/>
              <c:showCatName val="0"/>
              <c:showSerName val="0"/>
              <c:showPercent val="0"/>
              <c:showBubbleSize val="0"/>
            </c:dLbl>
            <c:dLbl>
              <c:idx val="1"/>
              <c:tx>
                <c:rich>
                  <a:bodyPr/>
                  <a:lstStyle/>
                  <a:p>
                    <a:pPr lvl="0">
                      <a:defRPr b="0" sz="1400">
                        <a:solidFill>
                          <a:srgbClr val="000000"/>
                        </a:solidFill>
                        <a:latin typeface="+mn-lt"/>
                      </a:defRPr>
                    </a:pPr>
                    <a:r>
                      <a:rPr b="0" sz="1400">
                        <a:solidFill>
                          <a:srgbClr val="000000"/>
                        </a:solidFill>
                        <a:latin typeface="+mn-lt"/>
                      </a:rPr>
                      <a:t>Fleet </a:t>
                    </a:r>
                  </a:p>
                </c:rich>
              </c:tx>
              <c:showLegendKey val="0"/>
              <c:showVal val="0"/>
              <c:showCatName val="0"/>
              <c:showSerName val="0"/>
              <c:showPercent val="0"/>
              <c:showBubbleSize val="0"/>
            </c:dLbl>
            <c:dLbl>
              <c:idx val="3"/>
              <c:tx>
                <c:rich>
                  <a:bodyPr/>
                  <a:lstStyle/>
                  <a:p>
                    <a:pPr lvl="0">
                      <a:defRPr b="0" sz="1400">
                        <a:solidFill>
                          <a:srgbClr val="000000"/>
                        </a:solidFill>
                        <a:latin typeface="+mn-lt"/>
                      </a:defRPr>
                    </a:pPr>
                    <a:r>
                      <a:rPr b="0" sz="14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ActionIndicators!$A$3:$A$8</c:f>
            </c:strRef>
          </c:cat>
          <c:val>
            <c:numRef>
              <c:f>ActionIndicators!$D$3:$D$8</c:f>
              <c:numCache/>
            </c:numRef>
          </c:val>
        </c:ser>
        <c:dLbls>
          <c:showLegendKey val="0"/>
          <c:showVal val="0"/>
          <c:showCatName val="0"/>
          <c:showSerName val="0"/>
          <c:showPercent val="0"/>
          <c:showBubbleSize val="0"/>
        </c:dLbls>
        <c:holeSize val="50"/>
      </c:doughnutChart>
    </c:plotArea>
    <c:legend>
      <c:legendPos val="b"/>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Emissions Over Time</a:t>
            </a:r>
          </a:p>
        </c:rich>
      </c:tx>
      <c:overlay val="0"/>
    </c:title>
    <c:plotArea>
      <c:layout/>
      <c:lineChart>
        <c:ser>
          <c:idx val="0"/>
          <c:order val="0"/>
          <c:tx>
            <c:strRef>
              <c:f>Emissions!$B$17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Emissions!$B$18:$B$34</c:f>
              <c:numCache/>
            </c:numRef>
          </c:val>
          <c:smooth val="0"/>
        </c:ser>
        <c:ser>
          <c:idx val="1"/>
          <c:order val="1"/>
          <c:tx>
            <c:strRef>
              <c:f>Emissions!$G$17</c:f>
            </c:strRef>
          </c:tx>
          <c:spPr>
            <a:ln cmpd="sng">
              <a:solidFill>
                <a:srgbClr val="274766"/>
              </a:solidFill>
            </a:ln>
          </c:spPr>
          <c:marker>
            <c:symbol val="none"/>
          </c:marker>
          <c:cat>
            <c:strRef>
              <c:f>Emissions!$A$18:$A$34</c:f>
            </c:strRef>
          </c:cat>
          <c:val>
            <c:numRef>
              <c:f>Emissions!$G$18:$G$34</c:f>
              <c:numCache/>
            </c:numRef>
          </c:val>
          <c:smooth val="0"/>
        </c:ser>
        <c:ser>
          <c:idx val="2"/>
          <c:order val="2"/>
          <c:tx>
            <c:strRef>
              <c:f>Emissions!$H$17</c:f>
            </c:strRef>
          </c:tx>
          <c:spPr>
            <a:ln cmpd="sng">
              <a:solidFill>
                <a:srgbClr val="DFA398"/>
              </a:solidFill>
            </a:ln>
          </c:spPr>
          <c:marker>
            <c:symbol val="none"/>
          </c:marker>
          <c:cat>
            <c:strRef>
              <c:f>Emissions!$A$18:$A$34</c:f>
            </c:strRef>
          </c:cat>
          <c:val>
            <c:numRef>
              <c:f>Emissions!$H$18:$H$34</c:f>
              <c:numCache/>
            </c:numRef>
          </c:val>
          <c:smooth val="0"/>
        </c:ser>
        <c:axId val="887107338"/>
        <c:axId val="15369844"/>
      </c:lineChart>
      <c:catAx>
        <c:axId val="8871073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5369844"/>
      </c:catAx>
      <c:valAx>
        <c:axId val="1536984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887107338"/>
      </c:valAx>
    </c:plotArea>
    <c:legend>
      <c:legendPos val="r"/>
      <c:overlay val="0"/>
      <c:txPr>
        <a:bodyPr/>
        <a:lstStyle/>
        <a:p>
          <a:pPr lvl="0">
            <a:defRPr b="0">
              <a:solidFill>
                <a:srgbClr val="1A1A1A"/>
              </a:solidFill>
              <a:latin typeface="+mn-lt"/>
            </a:defRPr>
          </a:pPr>
        </a:p>
      </c:txPr>
    </c:legend>
    <c:plotVisOnly val="1"/>
  </c:chart>
</c:chartSpace>
</file>

<file path=xl/charts/chart3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Emissions Model Action Plan </a:t>
            </a:r>
          </a:p>
        </c:rich>
      </c:tx>
      <c:overlay val="0"/>
    </c:title>
    <c:plotArea>
      <c:layout/>
      <c:lineChart>
        <c:ser>
          <c:idx val="0"/>
          <c:order val="0"/>
          <c:tx>
            <c:v>Business as usual Pathway</c:v>
          </c:tx>
          <c:spPr>
            <a:ln cmpd="sng" w="38100">
              <a:solidFill>
                <a:srgbClr val="608F66"/>
              </a:solidFill>
            </a:ln>
          </c:spPr>
          <c:marker>
            <c:symbol val="circle"/>
            <c:size val="7"/>
            <c:spPr>
              <a:solidFill>
                <a:srgbClr val="608F66"/>
              </a:solidFill>
              <a:ln cmpd="sng">
                <a:solidFill>
                  <a:srgbClr val="608F66"/>
                </a:solidFill>
              </a:ln>
            </c:spPr>
          </c:marker>
          <c:cat>
            <c:strRef>
              <c:f>'Times Series'!$A$2:$A$47</c:f>
            </c:strRef>
          </c:cat>
          <c:val>
            <c:numRef>
              <c:f>'Times Series'!$C$2:$C$47</c:f>
              <c:numCache/>
            </c:numRef>
          </c:val>
          <c:smooth val="0"/>
        </c:ser>
        <c:ser>
          <c:idx val="1"/>
          <c:order val="1"/>
          <c:tx>
            <c:v>Target Pathway</c:v>
          </c:tx>
          <c:spPr>
            <a:ln cmpd="sng" w="38100">
              <a:solidFill>
                <a:srgbClr val="274766"/>
              </a:solidFill>
            </a:ln>
          </c:spPr>
          <c:marker>
            <c:symbol val="circle"/>
            <c:size val="7"/>
            <c:spPr>
              <a:solidFill>
                <a:srgbClr val="274766"/>
              </a:solidFill>
              <a:ln cmpd="sng">
                <a:solidFill>
                  <a:srgbClr val="274766"/>
                </a:solidFill>
              </a:ln>
            </c:spPr>
          </c:marker>
          <c:cat>
            <c:strRef>
              <c:f>'Times Series'!$A$2:$A$47</c:f>
            </c:strRef>
          </c:cat>
          <c:val>
            <c:numRef>
              <c:f>'Times Series'!$H$2:$H$47</c:f>
              <c:numCache/>
            </c:numRef>
          </c:val>
          <c:smooth val="0"/>
        </c:ser>
        <c:ser>
          <c:idx val="2"/>
          <c:order val="2"/>
          <c:tx>
            <c:v>Action Pathway</c:v>
          </c:tx>
          <c:spPr>
            <a:ln cmpd="sng" w="38100">
              <a:solidFill>
                <a:srgbClr val="DFA398"/>
              </a:solidFill>
            </a:ln>
          </c:spPr>
          <c:marker>
            <c:symbol val="circle"/>
            <c:size val="7"/>
            <c:spPr>
              <a:solidFill>
                <a:srgbClr val="DFA398"/>
              </a:solidFill>
              <a:ln cmpd="sng">
                <a:solidFill>
                  <a:srgbClr val="DFA398"/>
                </a:solidFill>
              </a:ln>
            </c:spPr>
          </c:marker>
          <c:cat>
            <c:strRef>
              <c:f>'Times Series'!$A$2:$A$47</c:f>
            </c:strRef>
          </c:cat>
          <c:val>
            <c:numRef>
              <c:f>'Times Series'!$M$2:$M$47</c:f>
              <c:numCache/>
            </c:numRef>
          </c:val>
          <c:smooth val="0"/>
        </c:ser>
        <c:axId val="1285387584"/>
        <c:axId val="164419255"/>
      </c:lineChart>
      <c:catAx>
        <c:axId val="128538758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64419255"/>
      </c:catAx>
      <c:valAx>
        <c:axId val="16441925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Corporate Emissions  (TC02e / Capita)</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285387584"/>
      </c:valAx>
    </c:plotArea>
    <c:legend>
      <c:legendPos val="b"/>
      <c:overlay val="0"/>
      <c:txPr>
        <a:bodyPr/>
        <a:lstStyle/>
        <a:p>
          <a:pPr lvl="0">
            <a:defRPr b="0">
              <a:solidFill>
                <a:srgbClr val="1A1A1A"/>
              </a:solidFill>
              <a:latin typeface="+mn-lt"/>
            </a:defRPr>
          </a:pPr>
        </a:p>
      </c:txPr>
    </c:legend>
    <c:plotVisOnly val="1"/>
  </c:chart>
</c:chartSpace>
</file>

<file path=xl/charts/chart3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Emissions Model Action Plan </a:t>
            </a:r>
          </a:p>
        </c:rich>
      </c:tx>
      <c:overlay val="0"/>
    </c:title>
    <c:plotArea>
      <c:layout/>
      <c:areaChart>
        <c:ser>
          <c:idx val="0"/>
          <c:order val="0"/>
          <c:tx>
            <c:v>BAU Emissions</c:v>
          </c:tx>
          <c:spPr>
            <a:solidFill>
              <a:srgbClr val="608F66">
                <a:alpha val="30000"/>
              </a:srgbClr>
            </a:solidFill>
            <a:ln cmpd="sng" w="38100">
              <a:solidFill>
                <a:srgbClr val="608F66"/>
              </a:solidFill>
            </a:ln>
          </c:spPr>
          <c:cat>
            <c:strRef>
              <c:f>'Times Series'!$A$2:$A$47</c:f>
            </c:strRef>
          </c:cat>
          <c:val>
            <c:numRef>
              <c:f>'Times Series'!$W$2:$W$47</c:f>
              <c:numCache/>
            </c:numRef>
          </c:val>
        </c:ser>
        <c:ser>
          <c:idx val="1"/>
          <c:order val="1"/>
          <c:tx>
            <c:v>Target Emissions</c:v>
          </c:tx>
          <c:spPr>
            <a:solidFill>
              <a:srgbClr val="274766">
                <a:alpha val="30000"/>
              </a:srgbClr>
            </a:solidFill>
            <a:ln cmpd="sng" w="38100">
              <a:solidFill>
                <a:srgbClr val="274766"/>
              </a:solidFill>
            </a:ln>
          </c:spPr>
          <c:cat>
            <c:strRef>
              <c:f>'Times Series'!$A$2:$A$47</c:f>
            </c:strRef>
          </c:cat>
          <c:val>
            <c:numRef>
              <c:f>'Times Series'!$X$2:$X$47</c:f>
              <c:numCache/>
            </c:numRef>
          </c:val>
        </c:ser>
        <c:ser>
          <c:idx val="2"/>
          <c:order val="2"/>
          <c:tx>
            <c:v>Action Plan Emissions</c:v>
          </c:tx>
          <c:spPr>
            <a:solidFill>
              <a:srgbClr val="DFA398">
                <a:alpha val="30000"/>
              </a:srgbClr>
            </a:solidFill>
            <a:ln cmpd="sng" w="38100">
              <a:solidFill>
                <a:srgbClr val="DFA398"/>
              </a:solidFill>
            </a:ln>
          </c:spPr>
          <c:cat>
            <c:strRef>
              <c:f>'Times Series'!$A$2:$A$47</c:f>
            </c:strRef>
          </c:cat>
          <c:val>
            <c:numRef>
              <c:f>'Times Series'!$Y$2:$Y$47</c:f>
              <c:numCache/>
            </c:numRef>
          </c:val>
        </c:ser>
        <c:axId val="2020274317"/>
        <c:axId val="1703122768"/>
      </c:areaChart>
      <c:catAx>
        <c:axId val="202027431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703122768"/>
      </c:catAx>
      <c:valAx>
        <c:axId val="170312276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020274317"/>
      </c:valAx>
      <c:areaChart>
        <c:ser>
          <c:idx val="3"/>
          <c:order val="3"/>
          <c:tx>
            <c:v>% Progress to Targets</c:v>
          </c:tx>
          <c:spPr>
            <a:solidFill>
              <a:srgbClr val="AB9084">
                <a:alpha val="30000"/>
              </a:srgbClr>
            </a:solidFill>
            <a:ln cmpd="sng">
              <a:solidFill>
                <a:srgbClr val="AB9084"/>
              </a:solidFill>
            </a:ln>
          </c:spPr>
          <c:cat>
            <c:strRef>
              <c:f>'Times Series'!$A$2:$A$47</c:f>
            </c:strRef>
          </c:cat>
          <c:val>
            <c:numRef>
              <c:f>'Times Series'!$AB$2:$AB$47</c:f>
              <c:numCache/>
            </c:numRef>
          </c:val>
        </c:ser>
        <c:axId val="1105917874"/>
        <c:axId val="1704173907"/>
      </c:areaChart>
      <c:catAx>
        <c:axId val="1105917874"/>
        <c:scaling>
          <c:orientation val="minMax"/>
        </c:scaling>
        <c:delete val="1"/>
        <c:axPos val="b"/>
        <c:numFmt formatCode="General" sourceLinked="1"/>
        <c:majorTickMark val="none"/>
        <c:minorTickMark val="none"/>
        <c:spPr>
          <a:ln>
            <a:noFill/>
          </a:ln>
        </c:spPr>
        <c:txPr>
          <a:bodyPr/>
          <a:lstStyle/>
          <a:p>
            <a:pPr lvl="0">
              <a:defRPr b="0">
                <a:solidFill>
                  <a:srgbClr val="000000"/>
                </a:solidFill>
                <a:latin typeface="+mn-lt"/>
              </a:defRPr>
            </a:pPr>
          </a:p>
        </c:txPr>
        <c:crossAx val="1704173907"/>
      </c:catAx>
      <c:valAx>
        <c:axId val="1704173907"/>
        <c:scaling>
          <c:orientation val="minMax"/>
          <c:max val="1.0"/>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105917874"/>
        <c:crosses val="max"/>
      </c:valAx>
    </c:plotArea>
    <c:legend>
      <c:legendPos val="b"/>
      <c:overlay val="0"/>
      <c:txPr>
        <a:bodyPr/>
        <a:lstStyle/>
        <a:p>
          <a:pPr lvl="0">
            <a:defRPr b="0">
              <a:solidFill>
                <a:srgbClr val="1A1A1A"/>
              </a:solidFill>
              <a:latin typeface="+mn-lt"/>
            </a:defRPr>
          </a:pPr>
        </a:p>
      </c:txPr>
    </c:legend>
    <c:plotVisOnly val="1"/>
  </c:chart>
</c:chartSpace>
</file>

<file path=xl/charts/chart3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Carbon Tax Impact</a:t>
            </a:r>
          </a:p>
        </c:rich>
      </c:tx>
      <c:overlay val="0"/>
    </c:title>
    <c:plotArea>
      <c:layout/>
      <c:lineChart>
        <c:varyColors val="0"/>
        <c:ser>
          <c:idx val="1"/>
          <c:order val="1"/>
          <c:tx>
            <c:strRef>
              <c:f>htmlAction!$S$13</c:f>
            </c:strRef>
          </c:tx>
          <c:spPr>
            <a:ln cmpd="sng" w="38100">
              <a:solidFill>
                <a:srgbClr val="274766"/>
              </a:solidFill>
            </a:ln>
          </c:spPr>
          <c:marker>
            <c:symbol val="circle"/>
            <c:size val="10"/>
            <c:spPr>
              <a:solidFill>
                <a:srgbClr val="274766"/>
              </a:solidFill>
              <a:ln cmpd="sng">
                <a:solidFill>
                  <a:srgbClr val="274766"/>
                </a:solidFill>
              </a:ln>
            </c:spPr>
          </c:marker>
          <c:cat>
            <c:strRef>
              <c:f>htmlAction!$P$14:$P$25</c:f>
            </c:strRef>
          </c:cat>
          <c:val>
            <c:numRef>
              <c:f>htmlAction!$S$14:$S$25</c:f>
              <c:numCache/>
            </c:numRef>
          </c:val>
          <c:smooth val="0"/>
        </c:ser>
        <c:axId val="18295026"/>
        <c:axId val="1013269689"/>
      </c:lineChart>
      <c:catAx>
        <c:axId val="1829502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013269689"/>
      </c:catAx>
      <c:valAx>
        <c:axId val="101326968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Carbon Cost Savings $CAD</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8295026"/>
      </c:valAx>
      <c:lineChart>
        <c:varyColors val="0"/>
        <c:ser>
          <c:idx val="0"/>
          <c:order val="0"/>
          <c:tx>
            <c:strRef>
              <c:f>htmlAction!$Q$13</c:f>
            </c:strRef>
          </c:tx>
          <c:spPr>
            <a:ln cmpd="sng" w="38100">
              <a:solidFill>
                <a:srgbClr val="608F66"/>
              </a:solidFill>
            </a:ln>
          </c:spPr>
          <c:marker>
            <c:symbol val="none"/>
          </c:marker>
          <c:cat>
            <c:strRef>
              <c:f>htmlAction!$P$14:$P$25</c:f>
            </c:strRef>
          </c:cat>
          <c:val>
            <c:numRef>
              <c:f>htmlAction!$Q$14:$Q$25</c:f>
              <c:numCache/>
            </c:numRef>
          </c:val>
          <c:smooth val="0"/>
        </c:ser>
        <c:axId val="892020096"/>
        <c:axId val="1655600607"/>
      </c:lineChart>
      <c:catAx>
        <c:axId val="892020096"/>
        <c:scaling>
          <c:orientation val="minMax"/>
        </c:scaling>
        <c:delete val="1"/>
        <c:axPos val="b"/>
        <c:numFmt formatCode="General" sourceLinked="1"/>
        <c:majorTickMark val="none"/>
        <c:minorTickMark val="none"/>
        <c:spPr>
          <a:ln>
            <a:noFill/>
          </a:ln>
        </c:spPr>
        <c:txPr>
          <a:bodyPr/>
          <a:lstStyle/>
          <a:p>
            <a:pPr lvl="0">
              <a:defRPr b="0">
                <a:solidFill>
                  <a:srgbClr val="000000"/>
                </a:solidFill>
                <a:latin typeface="+mn-lt"/>
              </a:defRPr>
            </a:pPr>
          </a:p>
        </c:txPr>
        <c:crossAx val="1655600607"/>
      </c:catAx>
      <c:valAx>
        <c:axId val="1655600607"/>
        <c:scaling>
          <c:orientation val="minMax"/>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Carbon Cost per TC02e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892020096"/>
        <c:crosses val="max"/>
      </c:valAx>
    </c:plotArea>
    <c:legend>
      <c:legendPos val="b"/>
      <c:overlay val="0"/>
      <c:txPr>
        <a:bodyPr/>
        <a:lstStyle/>
        <a:p>
          <a:pPr lvl="0">
            <a:defRPr b="0">
              <a:solidFill>
                <a:srgbClr val="1A1A1A"/>
              </a:solidFill>
              <a:latin typeface="+mn-lt"/>
            </a:defRPr>
          </a:pPr>
        </a:p>
      </c:txPr>
    </c:legend>
    <c:plotVisOnly val="1"/>
  </c:chart>
</c:chartSpace>
</file>

<file path=xl/charts/chart3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Action Results</a:t>
            </a:r>
          </a:p>
        </c:rich>
      </c:tx>
      <c:layout>
        <c:manualLayout>
          <c:xMode val="edge"/>
          <c:yMode val="edge"/>
          <c:x val="0.026200564971751415"/>
          <c:y val="0.03306973893771777"/>
        </c:manualLayout>
      </c:layout>
      <c:overlay val="0"/>
    </c:title>
    <c:plotArea>
      <c:layout>
        <c:manualLayout>
          <c:xMode val="edge"/>
          <c:yMode val="edge"/>
          <c:x val="0.24234693877551017"/>
          <c:y val="0.07951482479784366"/>
          <c:w val="0.7176870748299319"/>
          <c:h val="0.7574123989218329"/>
        </c:manualLayout>
      </c:layout>
      <c:barChart>
        <c:barDir val="bar"/>
        <c:ser>
          <c:idx val="0"/>
          <c:order val="0"/>
          <c:tx>
            <c:strRef>
              <c:f>ActionIndicators!$D$2</c:f>
            </c:strRef>
          </c:tx>
          <c:spPr>
            <a:solidFill>
              <a:schemeClr val="accent1"/>
            </a:solidFill>
            <a:ln cmpd="sng">
              <a:noFill/>
            </a:ln>
          </c:spPr>
          <c:cat>
            <c:strRef>
              <c:f>ActionIndicators!$A$3:$A$8</c:f>
            </c:strRef>
          </c:cat>
          <c:val>
            <c:numRef>
              <c:f>ActionIndicators!$D$3:$D$8</c:f>
              <c:numCache/>
            </c:numRef>
          </c:val>
        </c:ser>
        <c:ser>
          <c:idx val="1"/>
          <c:order val="1"/>
          <c:tx>
            <c:strRef>
              <c:f>ActionIndicators!$H$2</c:f>
            </c:strRef>
          </c:tx>
          <c:spPr>
            <a:solidFill>
              <a:schemeClr val="accent2"/>
            </a:solidFill>
            <a:ln cmpd="sng">
              <a:noFill/>
            </a:ln>
          </c:spPr>
          <c:cat>
            <c:strRef>
              <c:f>ActionIndicators!$A$3:$A$8</c:f>
            </c:strRef>
          </c:cat>
          <c:val>
            <c:numRef>
              <c:f>ActionIndicators!$H$3:$H$8</c:f>
              <c:numCache/>
            </c:numRef>
          </c:val>
        </c:ser>
        <c:axId val="2113315984"/>
        <c:axId val="1308906013"/>
      </c:barChart>
      <c:catAx>
        <c:axId val="2113315984"/>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sz="1400">
                <a:solidFill>
                  <a:srgbClr val="000000"/>
                </a:solidFill>
                <a:latin typeface="+mn-lt"/>
              </a:defRPr>
            </a:pPr>
          </a:p>
        </c:txPr>
        <c:crossAx val="1308906013"/>
      </c:catAx>
      <c:valAx>
        <c:axId val="1308906013"/>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Per Capita Emissions Savings (TCO2e)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113315984"/>
        <c:crosses val="max"/>
      </c:valAx>
    </c:plotArea>
    <c:legend>
      <c:legendPos val="r"/>
      <c:layout>
        <c:manualLayout>
          <c:xMode val="edge"/>
          <c:yMode val="edge"/>
          <c:x val="0.007248355863984963"/>
          <c:y val="0.9532991390364536"/>
        </c:manualLayout>
      </c:layout>
      <c:overlay val="0"/>
      <c:txPr>
        <a:bodyPr/>
        <a:lstStyle/>
        <a:p>
          <a:pPr lvl="0">
            <a:defRPr b="0">
              <a:solidFill>
                <a:srgbClr val="1A1A1A"/>
              </a:solidFill>
              <a:latin typeface="+mn-lt"/>
            </a:defRPr>
          </a:pPr>
        </a:p>
      </c:txPr>
    </c:legend>
    <c:plotVisOnly val="1"/>
  </c:chart>
</c:chartSpace>
</file>

<file path=xl/charts/chart3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Emissions Pathways</a:t>
            </a:r>
          </a:p>
        </c:rich>
      </c:tx>
      <c:layout>
        <c:manualLayout>
          <c:xMode val="edge"/>
          <c:yMode val="edge"/>
          <c:x val="0.03250883392226148"/>
          <c:y val="0.022826086956521743"/>
        </c:manualLayout>
      </c:layout>
      <c:overlay val="0"/>
    </c:title>
    <c:plotArea>
      <c:layout>
        <c:manualLayout>
          <c:xMode val="edge"/>
          <c:yMode val="edge"/>
          <c:x val="0.11831520538869261"/>
          <c:y val="0.10416666666666667"/>
          <c:w val="0.8491759606890459"/>
          <c:h val="0.7581521739130435"/>
        </c:manualLayout>
      </c:layout>
      <c:lineChart>
        <c:ser>
          <c:idx val="0"/>
          <c:order val="0"/>
          <c:tx>
            <c:v>Business as usual Pathway</c:v>
          </c:tx>
          <c:spPr>
            <a:ln cmpd="sng" w="38100">
              <a:solidFill>
                <a:srgbClr val="608F66"/>
              </a:solidFill>
            </a:ln>
          </c:spPr>
          <c:marker>
            <c:symbol val="circle"/>
            <c:size val="7"/>
            <c:spPr>
              <a:solidFill>
                <a:srgbClr val="608F66"/>
              </a:solidFill>
              <a:ln cmpd="sng">
                <a:solidFill>
                  <a:srgbClr val="608F66"/>
                </a:solidFill>
              </a:ln>
            </c:spPr>
          </c:marker>
          <c:cat>
            <c:strRef>
              <c:f>'Times Series'!$A$2:$A$47</c:f>
            </c:strRef>
          </c:cat>
          <c:val>
            <c:numRef>
              <c:f>'Times Series'!$C$2:$C$47</c:f>
              <c:numCache/>
            </c:numRef>
          </c:val>
          <c:smooth val="0"/>
        </c:ser>
        <c:ser>
          <c:idx val="1"/>
          <c:order val="1"/>
          <c:tx>
            <c:v>Target Pathway</c:v>
          </c:tx>
          <c:spPr>
            <a:ln cmpd="sng" w="38100">
              <a:solidFill>
                <a:srgbClr val="274766"/>
              </a:solidFill>
            </a:ln>
          </c:spPr>
          <c:marker>
            <c:symbol val="circle"/>
            <c:size val="7"/>
            <c:spPr>
              <a:solidFill>
                <a:srgbClr val="274766"/>
              </a:solidFill>
              <a:ln cmpd="sng">
                <a:solidFill>
                  <a:srgbClr val="274766"/>
                </a:solidFill>
              </a:ln>
            </c:spPr>
          </c:marker>
          <c:cat>
            <c:strRef>
              <c:f>'Times Series'!$A$2:$A$47</c:f>
            </c:strRef>
          </c:cat>
          <c:val>
            <c:numRef>
              <c:f>'Times Series'!$H$2:$H$47</c:f>
              <c:numCache/>
            </c:numRef>
          </c:val>
          <c:smooth val="0"/>
        </c:ser>
        <c:ser>
          <c:idx val="2"/>
          <c:order val="2"/>
          <c:tx>
            <c:v>Action Pathway</c:v>
          </c:tx>
          <c:spPr>
            <a:ln cmpd="sng" w="38100">
              <a:solidFill>
                <a:srgbClr val="DFA398"/>
              </a:solidFill>
            </a:ln>
          </c:spPr>
          <c:marker>
            <c:symbol val="circle"/>
            <c:size val="7"/>
            <c:spPr>
              <a:solidFill>
                <a:srgbClr val="DFA398"/>
              </a:solidFill>
              <a:ln cmpd="sng">
                <a:solidFill>
                  <a:srgbClr val="DFA398"/>
                </a:solidFill>
              </a:ln>
            </c:spPr>
          </c:marker>
          <c:cat>
            <c:strRef>
              <c:f>'Times Series'!$A$2:$A$47</c:f>
            </c:strRef>
          </c:cat>
          <c:val>
            <c:numRef>
              <c:f>'Times Series'!$M$2:$M$47</c:f>
              <c:numCache/>
            </c:numRef>
          </c:val>
          <c:smooth val="0"/>
        </c:ser>
        <c:axId val="1719971486"/>
        <c:axId val="1286884977"/>
      </c:lineChart>
      <c:catAx>
        <c:axId val="171997148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286884977"/>
      </c:catAx>
      <c:valAx>
        <c:axId val="12868849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Corporate Emissions  (TC02e / Capita)</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719971486"/>
      </c:valAx>
    </c:plotArea>
    <c:legend>
      <c:legendPos val="b"/>
      <c:overlay val="0"/>
      <c:txPr>
        <a:bodyPr/>
        <a:lstStyle/>
        <a:p>
          <a:pPr lvl="0">
            <a:defRPr b="0">
              <a:solidFill>
                <a:srgbClr val="1A1A1A"/>
              </a:solidFill>
              <a:latin typeface="+mn-lt"/>
            </a:defRPr>
          </a:pPr>
        </a:p>
      </c:txPr>
    </c:legend>
    <c:plotVisOnly val="1"/>
  </c:chart>
</c:chartSpace>
</file>

<file path=xl/charts/chart3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Savings Per Action</a:t>
            </a:r>
          </a:p>
        </c:rich>
      </c:tx>
      <c:layout>
        <c:manualLayout>
          <c:xMode val="edge"/>
          <c:yMode val="edge"/>
          <c:x val="0.021505376344086023"/>
          <c:y val="0.026037982704535483"/>
        </c:manualLayout>
      </c:layout>
      <c:overlay val="0"/>
    </c:title>
    <c:plotArea>
      <c:layout>
        <c:manualLayout>
          <c:xMode val="edge"/>
          <c:yMode val="edge"/>
          <c:x val="0.008602150537634409"/>
          <c:y val="0.0660377358490566"/>
          <c:w val="0.9913978494623656"/>
          <c:h val="0.7730580088317944"/>
        </c:manualLayout>
      </c:layout>
      <c:doughnutChart>
        <c:varyColors val="1"/>
        <c:ser>
          <c:idx val="0"/>
          <c:order val="0"/>
          <c:tx>
            <c:strRef>
              <c:f>ActionIndicators!$D$2</c:f>
            </c:strRef>
          </c:tx>
          <c:dPt>
            <c:idx val="0"/>
            <c:spPr>
              <a:solidFill>
                <a:srgbClr val="608F66"/>
              </a:solidFill>
            </c:spPr>
          </c:dPt>
          <c:dPt>
            <c:idx val="1"/>
            <c:spPr>
              <a:solidFill>
                <a:srgbClr val="274766"/>
              </a:solidFill>
            </c:spPr>
          </c:dPt>
          <c:dPt>
            <c:idx val="2"/>
            <c:spPr>
              <a:solidFill>
                <a:srgbClr val="DFA398"/>
              </a:solidFill>
            </c:spPr>
          </c:dPt>
          <c:dPt>
            <c:idx val="3"/>
            <c:spPr>
              <a:solidFill>
                <a:srgbClr val="AB9084"/>
              </a:solidFill>
            </c:spPr>
          </c:dPt>
          <c:dPt>
            <c:idx val="4"/>
            <c:spPr>
              <a:solidFill>
                <a:srgbClr val="613942"/>
              </a:solidFill>
            </c:spPr>
          </c:dPt>
          <c:dPt>
            <c:idx val="5"/>
            <c:spPr>
              <a:solidFill>
                <a:srgbClr val="E68CA5"/>
              </a:solidFill>
            </c:spPr>
          </c:dPt>
          <c:dLbls>
            <c:dLbl>
              <c:idx val="0"/>
              <c:tx>
                <c:rich>
                  <a:bodyPr/>
                  <a:lstStyle/>
                  <a:p>
                    <a:pPr lvl="0">
                      <a:defRPr b="0" sz="1400">
                        <a:solidFill>
                          <a:srgbClr val="000000"/>
                        </a:solidFill>
                        <a:latin typeface="+mn-lt"/>
                      </a:defRPr>
                    </a:pPr>
                    <a:r>
                      <a:rPr b="0" sz="1400">
                        <a:solidFill>
                          <a:srgbClr val="000000"/>
                        </a:solidFill>
                        <a:latin typeface="+mn-lt"/>
                      </a:rPr>
                      <a:t>Building</a:t>
                    </a:r>
                  </a:p>
                </c:rich>
              </c:tx>
              <c:showLegendKey val="0"/>
              <c:showVal val="0"/>
              <c:showCatName val="0"/>
              <c:showSerName val="0"/>
              <c:showPercent val="0"/>
              <c:showBubbleSize val="0"/>
            </c:dLbl>
            <c:dLbl>
              <c:idx val="1"/>
              <c:tx>
                <c:rich>
                  <a:bodyPr/>
                  <a:lstStyle/>
                  <a:p>
                    <a:pPr lvl="0">
                      <a:defRPr b="0" sz="1400">
                        <a:solidFill>
                          <a:srgbClr val="000000"/>
                        </a:solidFill>
                        <a:latin typeface="+mn-lt"/>
                      </a:defRPr>
                    </a:pPr>
                    <a:r>
                      <a:rPr b="0" sz="1400">
                        <a:solidFill>
                          <a:srgbClr val="000000"/>
                        </a:solidFill>
                        <a:latin typeface="+mn-lt"/>
                      </a:rPr>
                      <a:t>Fleet </a:t>
                    </a:r>
                  </a:p>
                </c:rich>
              </c:tx>
              <c:showLegendKey val="0"/>
              <c:showVal val="0"/>
              <c:showCatName val="0"/>
              <c:showSerName val="0"/>
              <c:showPercent val="0"/>
              <c:showBubbleSize val="0"/>
            </c:dLbl>
            <c:dLbl>
              <c:idx val="3"/>
              <c:tx>
                <c:rich>
                  <a:bodyPr/>
                  <a:lstStyle/>
                  <a:p>
                    <a:pPr lvl="0">
                      <a:defRPr b="0" sz="1400">
                        <a:solidFill>
                          <a:srgbClr val="000000"/>
                        </a:solidFill>
                        <a:latin typeface="+mn-lt"/>
                      </a:defRPr>
                    </a:pPr>
                    <a:r>
                      <a:rPr b="0" sz="14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ActionIndicators!$A$3:$A$8</c:f>
            </c:strRef>
          </c:cat>
          <c:val>
            <c:numRef>
              <c:f>ActionIndicators!$D$3:$D$8</c:f>
              <c:numCache/>
            </c:numRef>
          </c:val>
        </c:ser>
        <c:dLbls>
          <c:showLegendKey val="0"/>
          <c:showVal val="0"/>
          <c:showCatName val="0"/>
          <c:showSerName val="0"/>
          <c:showPercent val="0"/>
          <c:showBubbleSize val="0"/>
        </c:dLbls>
        <c:holeSize val="50"/>
      </c:doughnutChart>
    </c:plotArea>
    <c:legend>
      <c:legendPos val="b"/>
      <c:overlay val="0"/>
      <c:txPr>
        <a:bodyPr/>
        <a:lstStyle/>
        <a:p>
          <a:pPr lvl="0">
            <a:defRPr b="0">
              <a:solidFill>
                <a:srgbClr val="1A1A1A"/>
              </a:solidFill>
              <a:latin typeface="+mn-lt"/>
            </a:defRPr>
          </a:pPr>
        </a:p>
      </c:txPr>
    </c:legend>
    <c:plotVisOnly val="1"/>
  </c:chart>
</c:chartSpace>
</file>

<file path=xl/charts/chart3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Carbon Tax Impact 2019-2030</a:t>
            </a:r>
          </a:p>
        </c:rich>
      </c:tx>
      <c:overlay val="0"/>
    </c:title>
    <c:plotArea>
      <c:layout/>
      <c:lineChart>
        <c:varyColors val="0"/>
        <c:ser>
          <c:idx val="1"/>
          <c:order val="1"/>
          <c:tx>
            <c:strRef>
              <c:f>htmlAction!$S$13</c:f>
            </c:strRef>
          </c:tx>
          <c:spPr>
            <a:ln cmpd="sng" w="38100">
              <a:solidFill>
                <a:srgbClr val="274766"/>
              </a:solidFill>
            </a:ln>
          </c:spPr>
          <c:marker>
            <c:symbol val="circle"/>
            <c:size val="10"/>
            <c:spPr>
              <a:solidFill>
                <a:srgbClr val="274766"/>
              </a:solidFill>
              <a:ln cmpd="sng">
                <a:solidFill>
                  <a:srgbClr val="274766"/>
                </a:solidFill>
              </a:ln>
            </c:spPr>
          </c:marker>
          <c:cat>
            <c:strRef>
              <c:f>htmlAction!$P$14:$P$25</c:f>
            </c:strRef>
          </c:cat>
          <c:val>
            <c:numRef>
              <c:f>htmlAction!$S$14:$S$25</c:f>
              <c:numCache/>
            </c:numRef>
          </c:val>
          <c:smooth val="0"/>
        </c:ser>
        <c:axId val="1291509698"/>
        <c:axId val="154468359"/>
      </c:lineChart>
      <c:catAx>
        <c:axId val="129150969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54468359"/>
      </c:catAx>
      <c:valAx>
        <c:axId val="15446835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Carbon Cost Savings $CAD</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291509698"/>
      </c:valAx>
      <c:lineChart>
        <c:varyColors val="0"/>
        <c:ser>
          <c:idx val="0"/>
          <c:order val="0"/>
          <c:tx>
            <c:strRef>
              <c:f>htmlAction!$Q$13</c:f>
            </c:strRef>
          </c:tx>
          <c:spPr>
            <a:ln cmpd="sng" w="38100">
              <a:solidFill>
                <a:srgbClr val="608F66"/>
              </a:solidFill>
            </a:ln>
          </c:spPr>
          <c:marker>
            <c:symbol val="none"/>
          </c:marker>
          <c:cat>
            <c:strRef>
              <c:f>htmlAction!$P$14:$P$25</c:f>
            </c:strRef>
          </c:cat>
          <c:val>
            <c:numRef>
              <c:f>htmlAction!$Q$14:$Q$25</c:f>
              <c:numCache/>
            </c:numRef>
          </c:val>
          <c:smooth val="0"/>
        </c:ser>
        <c:axId val="532209098"/>
        <c:axId val="1330151924"/>
      </c:lineChart>
      <c:catAx>
        <c:axId val="532209098"/>
        <c:scaling>
          <c:orientation val="minMax"/>
        </c:scaling>
        <c:delete val="1"/>
        <c:axPos val="b"/>
        <c:numFmt formatCode="General" sourceLinked="1"/>
        <c:majorTickMark val="none"/>
        <c:minorTickMark val="none"/>
        <c:spPr>
          <a:ln>
            <a:noFill/>
          </a:ln>
        </c:spPr>
        <c:txPr>
          <a:bodyPr/>
          <a:lstStyle/>
          <a:p>
            <a:pPr lvl="0">
              <a:defRPr b="0">
                <a:solidFill>
                  <a:srgbClr val="000000"/>
                </a:solidFill>
                <a:latin typeface="+mn-lt"/>
              </a:defRPr>
            </a:pPr>
          </a:p>
        </c:txPr>
        <c:crossAx val="1330151924"/>
      </c:catAx>
      <c:valAx>
        <c:axId val="1330151924"/>
        <c:scaling>
          <c:orientation val="minMax"/>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Carbon Cost per TC02e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532209098"/>
        <c:crosses val="max"/>
      </c:valAx>
    </c:plotArea>
    <c:legend>
      <c:legendPos val="b"/>
      <c:overlay val="0"/>
      <c:txPr>
        <a:bodyPr/>
        <a:lstStyle/>
        <a:p>
          <a:pPr lvl="0">
            <a:defRPr b="0">
              <a:solidFill>
                <a:srgbClr val="1A1A1A"/>
              </a:solidFill>
              <a:latin typeface="+mn-lt"/>
            </a:defRPr>
          </a:pPr>
        </a:p>
      </c:txPr>
    </c:legend>
    <c:plotVisOnly val="1"/>
  </c:chart>
</c:chartSpace>
</file>

<file path=xl/charts/chart3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Emissions Model Action Plan </a:t>
            </a:r>
          </a:p>
        </c:rich>
      </c:tx>
      <c:overlay val="0"/>
    </c:title>
    <c:plotArea>
      <c:layout/>
      <c:lineChart>
        <c:ser>
          <c:idx val="0"/>
          <c:order val="0"/>
          <c:tx>
            <c:v>Business as usual Pathway</c:v>
          </c:tx>
          <c:spPr>
            <a:ln cmpd="sng" w="38100">
              <a:solidFill>
                <a:srgbClr val="608F66"/>
              </a:solidFill>
            </a:ln>
          </c:spPr>
          <c:marker>
            <c:symbol val="circle"/>
            <c:size val="7"/>
            <c:spPr>
              <a:solidFill>
                <a:srgbClr val="608F66"/>
              </a:solidFill>
              <a:ln cmpd="sng">
                <a:solidFill>
                  <a:srgbClr val="608F66"/>
                </a:solidFill>
              </a:ln>
            </c:spPr>
          </c:marker>
          <c:cat>
            <c:strRef>
              <c:f>'Times Series'!$A$2:$A$47</c:f>
            </c:strRef>
          </c:cat>
          <c:val>
            <c:numRef>
              <c:f>'Times Series'!$C$2:$C$47</c:f>
              <c:numCache/>
            </c:numRef>
          </c:val>
          <c:smooth val="0"/>
        </c:ser>
        <c:ser>
          <c:idx val="1"/>
          <c:order val="1"/>
          <c:tx>
            <c:v>Target Pathway</c:v>
          </c:tx>
          <c:spPr>
            <a:ln cmpd="sng" w="38100">
              <a:solidFill>
                <a:srgbClr val="274766"/>
              </a:solidFill>
            </a:ln>
          </c:spPr>
          <c:marker>
            <c:symbol val="circle"/>
            <c:size val="7"/>
            <c:spPr>
              <a:solidFill>
                <a:srgbClr val="274766"/>
              </a:solidFill>
              <a:ln cmpd="sng">
                <a:solidFill>
                  <a:srgbClr val="274766"/>
                </a:solidFill>
              </a:ln>
            </c:spPr>
          </c:marker>
          <c:cat>
            <c:strRef>
              <c:f>'Times Series'!$A$2:$A$47</c:f>
            </c:strRef>
          </c:cat>
          <c:val>
            <c:numRef>
              <c:f>'Times Series'!$H$2:$H$47</c:f>
              <c:numCache/>
            </c:numRef>
          </c:val>
          <c:smooth val="0"/>
        </c:ser>
        <c:ser>
          <c:idx val="2"/>
          <c:order val="2"/>
          <c:tx>
            <c:v>Action Pathway</c:v>
          </c:tx>
          <c:spPr>
            <a:ln cmpd="sng" w="38100">
              <a:solidFill>
                <a:srgbClr val="DFA398"/>
              </a:solidFill>
            </a:ln>
          </c:spPr>
          <c:marker>
            <c:symbol val="circle"/>
            <c:size val="7"/>
            <c:spPr>
              <a:solidFill>
                <a:srgbClr val="DFA398"/>
              </a:solidFill>
              <a:ln cmpd="sng">
                <a:solidFill>
                  <a:srgbClr val="DFA398"/>
                </a:solidFill>
              </a:ln>
            </c:spPr>
          </c:marker>
          <c:cat>
            <c:strRef>
              <c:f>'Times Series'!$A$2:$A$47</c:f>
            </c:strRef>
          </c:cat>
          <c:val>
            <c:numRef>
              <c:f>'Times Series'!$M$2:$M$47</c:f>
              <c:numCache/>
            </c:numRef>
          </c:val>
          <c:smooth val="0"/>
        </c:ser>
        <c:axId val="1632847770"/>
        <c:axId val="337336817"/>
      </c:lineChart>
      <c:catAx>
        <c:axId val="163284777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337336817"/>
      </c:catAx>
      <c:valAx>
        <c:axId val="33733681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Corporate Emissions  (TC02e / Capita)</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632847770"/>
      </c:valAx>
    </c:plotArea>
    <c:legend>
      <c:legendPos val="b"/>
      <c:overlay val="0"/>
      <c:txPr>
        <a:bodyPr/>
        <a:lstStyle/>
        <a:p>
          <a:pPr lvl="0">
            <a:defRPr b="0">
              <a:solidFill>
                <a:srgbClr val="1A1A1A"/>
              </a:solidFill>
              <a:latin typeface="+mn-lt"/>
            </a:defRPr>
          </a:pPr>
        </a:p>
      </c:txPr>
    </c:legend>
    <c:plotVisOnly val="1"/>
  </c:chart>
</c:chartSpace>
</file>

<file path=xl/charts/chart3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Action Results</a:t>
            </a:r>
          </a:p>
        </c:rich>
      </c:tx>
      <c:layout>
        <c:manualLayout>
          <c:xMode val="edge"/>
          <c:yMode val="edge"/>
          <c:x val="0.026200564971751415"/>
          <c:y val="0.03306973893771777"/>
        </c:manualLayout>
      </c:layout>
      <c:overlay val="0"/>
    </c:title>
    <c:plotArea>
      <c:layout>
        <c:manualLayout>
          <c:xMode val="edge"/>
          <c:yMode val="edge"/>
          <c:x val="0.24234693877551017"/>
          <c:y val="0.07951482479784366"/>
          <c:w val="0.7176870748299319"/>
          <c:h val="0.7574123989218329"/>
        </c:manualLayout>
      </c:layout>
      <c:barChart>
        <c:barDir val="bar"/>
        <c:ser>
          <c:idx val="0"/>
          <c:order val="0"/>
          <c:tx>
            <c:strRef>
              <c:f>ActionIndicators!$D$2</c:f>
            </c:strRef>
          </c:tx>
          <c:spPr>
            <a:solidFill>
              <a:schemeClr val="accent1"/>
            </a:solidFill>
            <a:ln cmpd="sng">
              <a:noFill/>
            </a:ln>
          </c:spPr>
          <c:cat>
            <c:strRef>
              <c:f>ActionIndicators!$A$3:$A$8</c:f>
            </c:strRef>
          </c:cat>
          <c:val>
            <c:numRef>
              <c:f>ActionIndicators!$D$3:$D$8</c:f>
              <c:numCache/>
            </c:numRef>
          </c:val>
        </c:ser>
        <c:ser>
          <c:idx val="1"/>
          <c:order val="1"/>
          <c:tx>
            <c:strRef>
              <c:f>ActionIndicators!$H$2</c:f>
            </c:strRef>
          </c:tx>
          <c:spPr>
            <a:solidFill>
              <a:schemeClr val="accent2"/>
            </a:solidFill>
            <a:ln cmpd="sng">
              <a:noFill/>
            </a:ln>
          </c:spPr>
          <c:cat>
            <c:strRef>
              <c:f>ActionIndicators!$A$3:$A$8</c:f>
            </c:strRef>
          </c:cat>
          <c:val>
            <c:numRef>
              <c:f>ActionIndicators!$H$3:$H$8</c:f>
              <c:numCache/>
            </c:numRef>
          </c:val>
        </c:ser>
        <c:axId val="995915271"/>
        <c:axId val="668020611"/>
      </c:barChart>
      <c:catAx>
        <c:axId val="995915271"/>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sz="1400">
                <a:solidFill>
                  <a:srgbClr val="000000"/>
                </a:solidFill>
                <a:latin typeface="+mn-lt"/>
              </a:defRPr>
            </a:pPr>
          </a:p>
        </c:txPr>
        <c:crossAx val="668020611"/>
      </c:catAx>
      <c:valAx>
        <c:axId val="668020611"/>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Per Capita Emissions Savings (TCO2e)</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995915271"/>
        <c:crosses val="max"/>
      </c:valAx>
    </c:plotArea>
    <c:legend>
      <c:legendPos val="r"/>
      <c:layout>
        <c:manualLayout>
          <c:xMode val="edge"/>
          <c:yMode val="edge"/>
          <c:x val="0.007248355863984963"/>
          <c:y val="0.9532991390364536"/>
        </c:manualLayout>
      </c:layout>
      <c:overlay val="0"/>
      <c:txPr>
        <a:bodyPr/>
        <a:lstStyle/>
        <a:p>
          <a:pPr lvl="0">
            <a:defRPr b="0">
              <a:solidFill>
                <a:srgbClr val="1A1A1A"/>
              </a:solidFill>
              <a:latin typeface="+mn-lt"/>
            </a:defRPr>
          </a:pPr>
        </a:p>
      </c:txPr>
    </c:legend>
    <c:plotVisOnly val="1"/>
  </c:chart>
</c:chartSpace>
</file>

<file path=xl/charts/chart3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2030 Emissions Savings</a:t>
            </a:r>
          </a:p>
        </c:rich>
      </c:tx>
      <c:layout>
        <c:manualLayout>
          <c:xMode val="edge"/>
          <c:yMode val="edge"/>
          <c:x val="0.021505376344086023"/>
          <c:y val="0.026037982704535483"/>
        </c:manualLayout>
      </c:layout>
      <c:overlay val="0"/>
    </c:title>
    <c:plotArea>
      <c:layout>
        <c:manualLayout>
          <c:xMode val="edge"/>
          <c:yMode val="edge"/>
          <c:x val="0.008602150537634409"/>
          <c:y val="0.0660377358490566"/>
          <c:w val="0.9913978494623656"/>
          <c:h val="0.7730580088317944"/>
        </c:manualLayout>
      </c:layout>
      <c:doughnutChart>
        <c:varyColors val="1"/>
        <c:ser>
          <c:idx val="0"/>
          <c:order val="0"/>
          <c:tx>
            <c:strRef>
              <c:f>ActionIndicators!$D$2</c:f>
            </c:strRef>
          </c:tx>
          <c:dPt>
            <c:idx val="0"/>
            <c:spPr>
              <a:solidFill>
                <a:srgbClr val="608F66"/>
              </a:solidFill>
            </c:spPr>
          </c:dPt>
          <c:dPt>
            <c:idx val="1"/>
            <c:spPr>
              <a:solidFill>
                <a:srgbClr val="274766"/>
              </a:solidFill>
            </c:spPr>
          </c:dPt>
          <c:dPt>
            <c:idx val="2"/>
            <c:spPr>
              <a:solidFill>
                <a:srgbClr val="DFA398"/>
              </a:solidFill>
            </c:spPr>
          </c:dPt>
          <c:dPt>
            <c:idx val="3"/>
            <c:spPr>
              <a:solidFill>
                <a:srgbClr val="AB9084"/>
              </a:solidFill>
            </c:spPr>
          </c:dPt>
          <c:dPt>
            <c:idx val="4"/>
            <c:spPr>
              <a:solidFill>
                <a:srgbClr val="613942"/>
              </a:solidFill>
            </c:spPr>
          </c:dPt>
          <c:dPt>
            <c:idx val="5"/>
            <c:spPr>
              <a:solidFill>
                <a:srgbClr val="E68CA5"/>
              </a:solidFill>
            </c:spPr>
          </c:dPt>
          <c:dLbls>
            <c:dLbl>
              <c:idx val="0"/>
              <c:tx>
                <c:rich>
                  <a:bodyPr/>
                  <a:lstStyle/>
                  <a:p>
                    <a:pPr lvl="0">
                      <a:defRPr b="0" sz="1400">
                        <a:solidFill>
                          <a:srgbClr val="000000"/>
                        </a:solidFill>
                        <a:latin typeface="+mn-lt"/>
                      </a:defRPr>
                    </a:pPr>
                    <a:r>
                      <a:rPr b="0" sz="1400">
                        <a:solidFill>
                          <a:srgbClr val="000000"/>
                        </a:solidFill>
                        <a:latin typeface="+mn-lt"/>
                      </a:rPr>
                      <a:t>Building</a:t>
                    </a:r>
                  </a:p>
                </c:rich>
              </c:tx>
              <c:showLegendKey val="0"/>
              <c:showVal val="0"/>
              <c:showCatName val="0"/>
              <c:showSerName val="0"/>
              <c:showPercent val="0"/>
              <c:showBubbleSize val="0"/>
            </c:dLbl>
            <c:dLbl>
              <c:idx val="1"/>
              <c:tx>
                <c:rich>
                  <a:bodyPr/>
                  <a:lstStyle/>
                  <a:p>
                    <a:pPr lvl="0">
                      <a:defRPr b="0" sz="1400">
                        <a:solidFill>
                          <a:srgbClr val="000000"/>
                        </a:solidFill>
                        <a:latin typeface="+mn-lt"/>
                      </a:defRPr>
                    </a:pPr>
                    <a:r>
                      <a:rPr b="0" sz="1400">
                        <a:solidFill>
                          <a:srgbClr val="000000"/>
                        </a:solidFill>
                        <a:latin typeface="+mn-lt"/>
                      </a:rPr>
                      <a:t>Fleet </a:t>
                    </a:r>
                  </a:p>
                </c:rich>
              </c:tx>
              <c:showLegendKey val="0"/>
              <c:showVal val="0"/>
              <c:showCatName val="0"/>
              <c:showSerName val="0"/>
              <c:showPercent val="0"/>
              <c:showBubbleSize val="0"/>
            </c:dLbl>
            <c:dLbl>
              <c:idx val="3"/>
              <c:tx>
                <c:rich>
                  <a:bodyPr/>
                  <a:lstStyle/>
                  <a:p>
                    <a:pPr lvl="0">
                      <a:defRPr b="0" sz="1400">
                        <a:solidFill>
                          <a:srgbClr val="000000"/>
                        </a:solidFill>
                        <a:latin typeface="+mn-lt"/>
                      </a:defRPr>
                    </a:pPr>
                    <a:r>
                      <a:rPr b="0" sz="14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ActionIndicators!$A$3:$A$8</c:f>
            </c:strRef>
          </c:cat>
          <c:val>
            <c:numRef>
              <c:f>ActionIndicators!$D$3:$D$8</c:f>
              <c:numCache/>
            </c:numRef>
          </c:val>
        </c:ser>
        <c:dLbls>
          <c:showLegendKey val="0"/>
          <c:showVal val="0"/>
          <c:showCatName val="0"/>
          <c:showSerName val="0"/>
          <c:showPercent val="0"/>
          <c:showBubbleSize val="0"/>
        </c:dLbls>
        <c:holeSize val="50"/>
      </c:doughnutChart>
    </c:plotArea>
    <c:legend>
      <c:legendPos val="b"/>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doughnutChart>
        <c:varyColors val="1"/>
        <c:ser>
          <c:idx val="0"/>
          <c:order val="0"/>
          <c:dPt>
            <c:idx val="0"/>
            <c:spPr>
              <a:solidFill>
                <a:srgbClr val="608F66"/>
              </a:solidFill>
              <a:ln cmpd="sng" w="9525">
                <a:solidFill>
                  <a:srgbClr val="FFFFFF"/>
                </a:solidFill>
              </a:ln>
            </c:spPr>
          </c:dPt>
          <c:dLbls>
            <c:showLegendKey val="0"/>
            <c:showVal val="0"/>
            <c:showCatName val="0"/>
            <c:showSerName val="0"/>
            <c:showPercent val="0"/>
            <c:showBubbleSize val="0"/>
            <c:showLeaderLines val="1"/>
          </c:dLbls>
          <c:cat>
            <c:strRef>
              <c:f>Energy!$C$1:$F$1</c:f>
            </c:strRef>
          </c:cat>
          <c:val>
            <c:numRef>
              <c:f>Energy!$C$18:$F$18</c:f>
              <c:numCache/>
            </c:numRef>
          </c:val>
        </c:ser>
        <c:dLbls>
          <c:showLegendKey val="0"/>
          <c:showVal val="0"/>
          <c:showCatName val="0"/>
          <c:showSerName val="0"/>
          <c:showPercent val="0"/>
          <c:showBubbleSize val="0"/>
        </c:dLbls>
        <c:holeSize val="25"/>
      </c:doughnutChart>
    </c:plotArea>
    <c:legend>
      <c:legendPos val="b"/>
      <c:overlay val="0"/>
      <c:txPr>
        <a:bodyPr/>
        <a:lstStyle/>
        <a:p>
          <a:pPr lvl="0">
            <a:defRPr b="0" sz="1400">
              <a:solidFill>
                <a:srgbClr val="1A1A1A"/>
              </a:solidFill>
              <a:latin typeface="+mn-lt"/>
            </a:defRPr>
          </a:pPr>
        </a:p>
      </c:txPr>
    </c:legend>
    <c:plotVisOnly val="1"/>
  </c:chart>
</c:chartSpace>
</file>

<file path=xl/charts/chart4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000000"/>
                </a:solidFill>
                <a:latin typeface="+mn-lt"/>
              </a:defRPr>
            </a:pPr>
            <a:r>
              <a:rPr b="1">
                <a:solidFill>
                  <a:srgbClr val="000000"/>
                </a:solidFill>
                <a:latin typeface="+mn-lt"/>
              </a:rPr>
              <a:t>2050 Emissions Savings</a:t>
            </a:r>
          </a:p>
        </c:rich>
      </c:tx>
      <c:layout>
        <c:manualLayout>
          <c:xMode val="edge"/>
          <c:yMode val="edge"/>
          <c:x val="0.021505376344086023"/>
          <c:y val="0.026037982704535483"/>
        </c:manualLayout>
      </c:layout>
      <c:overlay val="0"/>
    </c:title>
    <c:plotArea>
      <c:layout>
        <c:manualLayout>
          <c:xMode val="edge"/>
          <c:yMode val="edge"/>
          <c:x val="0.008602150537634409"/>
          <c:y val="0.0660377358490566"/>
          <c:w val="0.9913978494623656"/>
          <c:h val="0.7730580088317944"/>
        </c:manualLayout>
      </c:layout>
      <c:doughnutChart>
        <c:varyColors val="1"/>
        <c:ser>
          <c:idx val="0"/>
          <c:order val="0"/>
          <c:tx>
            <c:strRef>
              <c:f>ActionIndicators!$H$2</c:f>
            </c:strRef>
          </c:tx>
          <c:dPt>
            <c:idx val="0"/>
            <c:spPr>
              <a:solidFill>
                <a:srgbClr val="608F66"/>
              </a:solidFill>
            </c:spPr>
          </c:dPt>
          <c:dPt>
            <c:idx val="1"/>
            <c:spPr>
              <a:solidFill>
                <a:srgbClr val="274766"/>
              </a:solidFill>
            </c:spPr>
          </c:dPt>
          <c:dPt>
            <c:idx val="2"/>
            <c:spPr>
              <a:solidFill>
                <a:srgbClr val="DFA398"/>
              </a:solidFill>
            </c:spPr>
          </c:dPt>
          <c:dPt>
            <c:idx val="3"/>
            <c:spPr>
              <a:solidFill>
                <a:srgbClr val="AB9084"/>
              </a:solidFill>
            </c:spPr>
          </c:dPt>
          <c:dPt>
            <c:idx val="4"/>
            <c:spPr>
              <a:solidFill>
                <a:srgbClr val="613942"/>
              </a:solidFill>
            </c:spPr>
          </c:dPt>
          <c:dPt>
            <c:idx val="5"/>
            <c:spPr>
              <a:solidFill>
                <a:srgbClr val="E68CA5"/>
              </a:solidFill>
            </c:spPr>
          </c:dPt>
          <c:dLbls>
            <c:dLbl>
              <c:idx val="0"/>
              <c:tx>
                <c:rich>
                  <a:bodyPr/>
                  <a:lstStyle/>
                  <a:p>
                    <a:pPr lvl="0">
                      <a:defRPr b="0" sz="1400">
                        <a:solidFill>
                          <a:srgbClr val="000000"/>
                        </a:solidFill>
                        <a:latin typeface="+mn-lt"/>
                      </a:defRPr>
                    </a:pPr>
                    <a:r>
                      <a:rPr b="0" sz="1400">
                        <a:solidFill>
                          <a:srgbClr val="000000"/>
                        </a:solidFill>
                        <a:latin typeface="+mn-lt"/>
                      </a:rPr>
                      <a:t>Building</a:t>
                    </a:r>
                  </a:p>
                </c:rich>
              </c:tx>
              <c:showLegendKey val="0"/>
              <c:showVal val="0"/>
              <c:showCatName val="0"/>
              <c:showSerName val="0"/>
              <c:showPercent val="0"/>
              <c:showBubbleSize val="0"/>
            </c:dLbl>
            <c:dLbl>
              <c:idx val="1"/>
              <c:tx>
                <c:rich>
                  <a:bodyPr/>
                  <a:lstStyle/>
                  <a:p>
                    <a:pPr lvl="0">
                      <a:defRPr b="0" sz="1400">
                        <a:solidFill>
                          <a:srgbClr val="000000"/>
                        </a:solidFill>
                        <a:latin typeface="+mn-lt"/>
                      </a:defRPr>
                    </a:pPr>
                    <a:r>
                      <a:rPr b="0" sz="1400">
                        <a:solidFill>
                          <a:srgbClr val="000000"/>
                        </a:solidFill>
                        <a:latin typeface="+mn-lt"/>
                      </a:rPr>
                      <a:t>Fleet </a:t>
                    </a:r>
                  </a:p>
                </c:rich>
              </c:tx>
              <c:showLegendKey val="0"/>
              <c:showVal val="0"/>
              <c:showCatName val="0"/>
              <c:showSerName val="0"/>
              <c:showPercent val="0"/>
              <c:showBubbleSize val="0"/>
            </c:dLbl>
            <c:dLbl>
              <c:idx val="3"/>
              <c:tx>
                <c:rich>
                  <a:bodyPr/>
                  <a:lstStyle/>
                  <a:p>
                    <a:pPr lvl="0">
                      <a:defRPr b="0" sz="1400">
                        <a:solidFill>
                          <a:srgbClr val="000000"/>
                        </a:solidFill>
                        <a:latin typeface="+mn-lt"/>
                      </a:defRPr>
                    </a:pPr>
                    <a:r>
                      <a:rPr b="0" sz="14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ActionIndicators!$A$3:$A$8</c:f>
            </c:strRef>
          </c:cat>
          <c:val>
            <c:numRef>
              <c:f>ActionIndicators!$H$3:$H$8</c:f>
              <c:numCache/>
            </c:numRef>
          </c:val>
        </c:ser>
        <c:dLbls>
          <c:showLegendKey val="0"/>
          <c:showVal val="0"/>
          <c:showCatName val="0"/>
          <c:showSerName val="0"/>
          <c:showPercent val="0"/>
          <c:showBubbleSize val="0"/>
        </c:dLbls>
        <c:holeSize val="50"/>
      </c:doughnutChart>
    </c:plotArea>
    <c:legend>
      <c:legendPos val="b"/>
      <c:overlay val="0"/>
      <c:txPr>
        <a:bodyPr/>
        <a:lstStyle/>
        <a:p>
          <a:pPr lvl="0">
            <a:defRPr b="0">
              <a:solidFill>
                <a:srgbClr val="1A1A1A"/>
              </a:solidFill>
              <a:latin typeface="+mn-lt"/>
            </a:defRPr>
          </a:pPr>
        </a:p>
      </c:txPr>
    </c:legend>
    <c:plotVisOnly val="1"/>
  </c:chart>
</c:chartSpace>
</file>

<file path=xl/charts/chart4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rgbClr val="000000"/>
                </a:solidFill>
                <a:latin typeface="+mn-lt"/>
              </a:defRPr>
            </a:pPr>
            <a:r>
              <a:rPr b="0" sz="2400">
                <a:solidFill>
                  <a:srgbClr val="000000"/>
                </a:solidFill>
                <a:latin typeface="+mn-lt"/>
              </a:rPr>
              <a:t>Corporate Emissions 2005 -2021</a:t>
            </a:r>
          </a:p>
        </c:rich>
      </c:tx>
      <c:overlay val="0"/>
    </c:title>
    <c:plotArea>
      <c:layout>
        <c:manualLayout>
          <c:xMode val="edge"/>
          <c:yMode val="edge"/>
          <c:x val="0.09619190096251262"/>
          <c:y val="0.16163141993957703"/>
          <c:w val="0.8883572378419451"/>
          <c:h val="0.6465653013718984"/>
        </c:manualLayout>
      </c:layout>
      <c:lineChart>
        <c:varyColors val="0"/>
        <c:ser>
          <c:idx val="0"/>
          <c:order val="0"/>
          <c:tx>
            <c:strRef>
              <c:f>Emissions!$B$17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Emissions!$B$18:$B$34</c:f>
              <c:numCache/>
            </c:numRef>
          </c:val>
          <c:smooth val="1"/>
        </c:ser>
        <c:axId val="1950792039"/>
        <c:axId val="1255241335"/>
      </c:lineChart>
      <c:catAx>
        <c:axId val="195079203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255241335"/>
      </c:catAx>
      <c:valAx>
        <c:axId val="125524133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950792039"/>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4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375"/>
          <c:y val="0.04038997214484681"/>
          <c:w val="0.918942749922406"/>
          <c:h val="0.8146588877900066"/>
        </c:manualLayout>
      </c:layout>
      <c:doughnutChart>
        <c:varyColors val="1"/>
        <c:ser>
          <c:idx val="0"/>
          <c:order val="0"/>
          <c:tx>
            <c:strRef>
              <c:f>Sectors!$B$1</c:f>
            </c:strRef>
          </c:tx>
          <c:dPt>
            <c:idx val="0"/>
            <c:explosion val="1"/>
            <c:spPr>
              <a:solidFill>
                <a:srgbClr val="608F66"/>
              </a:solidFill>
            </c:spPr>
          </c:dPt>
          <c:dPt>
            <c:idx val="1"/>
            <c:explosion val="1"/>
            <c:spPr>
              <a:solidFill>
                <a:srgbClr val="274766"/>
              </a:solidFill>
            </c:spPr>
          </c:dPt>
          <c:dPt>
            <c:idx val="2"/>
            <c:explosion val="1"/>
            <c:spPr>
              <a:solidFill>
                <a:srgbClr val="DFA398"/>
              </a:solidFill>
            </c:spPr>
          </c:dPt>
          <c:dPt>
            <c:idx val="3"/>
            <c:explosion val="1"/>
            <c:spPr>
              <a:solidFill>
                <a:srgbClr val="AB9084"/>
              </a:solidFill>
            </c:spPr>
          </c:dPt>
          <c:dLbls>
            <c:dLbl>
              <c:idx val="0"/>
              <c:tx>
                <c:rich>
                  <a:bodyPr/>
                  <a:lstStyle/>
                  <a:p>
                    <a:pPr lvl="0">
                      <a:defRPr b="1" sz="1200">
                        <a:solidFill>
                          <a:srgbClr val="000000"/>
                        </a:solidFill>
                        <a:latin typeface="+mn-lt"/>
                      </a:defRPr>
                    </a:pPr>
                    <a:r>
                      <a:rPr b="1" sz="1200">
                        <a:solidFill>
                          <a:srgbClr val="000000"/>
                        </a:solidFill>
                        <a:latin typeface="+mn-lt"/>
                      </a:rPr>
                      <a:t>Building</a:t>
                    </a:r>
                  </a:p>
                </c:rich>
              </c:tx>
              <c:showLegendKey val="0"/>
              <c:showVal val="0"/>
              <c:showCatName val="0"/>
              <c:showSerName val="0"/>
              <c:showPercent val="0"/>
              <c:showBubbleSize val="0"/>
            </c:dLbl>
            <c:dLbl>
              <c:idx val="1"/>
              <c:tx>
                <c:rich>
                  <a:bodyPr/>
                  <a:lstStyle/>
                  <a:p>
                    <a:pPr lvl="0">
                      <a:defRPr b="1" sz="1200">
                        <a:solidFill>
                          <a:srgbClr val="000000"/>
                        </a:solidFill>
                        <a:latin typeface="+mn-lt"/>
                      </a:defRPr>
                    </a:pPr>
                    <a:r>
                      <a:rPr b="1" sz="1200">
                        <a:solidFill>
                          <a:srgbClr val="000000"/>
                        </a:solidFill>
                        <a:latin typeface="+mn-lt"/>
                      </a:rPr>
                      <a:t>Fleet</a:t>
                    </a:r>
                  </a:p>
                </c:rich>
              </c:tx>
              <c:showLegendKey val="0"/>
              <c:showVal val="0"/>
              <c:showCatName val="0"/>
              <c:showSerName val="0"/>
              <c:showPercent val="0"/>
              <c:showBubbleSize val="0"/>
            </c:dLbl>
            <c:dLbl>
              <c:idx val="2"/>
              <c:tx>
                <c:rich>
                  <a:bodyPr/>
                  <a:lstStyle/>
                  <a:p>
                    <a:pPr lvl="0">
                      <a:defRPr b="1" sz="1200">
                        <a:solidFill>
                          <a:srgbClr val="000000"/>
                        </a:solidFill>
                        <a:latin typeface="+mn-lt"/>
                      </a:defRPr>
                    </a:pPr>
                    <a:r>
                      <a:rPr b="1" sz="1200">
                        <a:solidFill>
                          <a:srgbClr val="000000"/>
                        </a:solidFill>
                        <a:latin typeface="+mn-lt"/>
                      </a:rPr>
                      <a:t>Streetlighting</a:t>
                    </a:r>
                  </a:p>
                </c:rich>
              </c:tx>
              <c:showLegendKey val="0"/>
              <c:showVal val="0"/>
              <c:showCatName val="0"/>
              <c:showSerName val="0"/>
              <c:showPercent val="0"/>
              <c:showBubbleSize val="0"/>
            </c:dLbl>
            <c:dLbl>
              <c:idx val="3"/>
              <c:tx>
                <c:rich>
                  <a:bodyPr/>
                  <a:lstStyle/>
                  <a:p>
                    <a:pPr lvl="0">
                      <a:defRPr b="1" sz="1200">
                        <a:solidFill>
                          <a:srgbClr val="000000"/>
                        </a:solidFill>
                        <a:latin typeface="+mn-lt"/>
                      </a:defRPr>
                    </a:pPr>
                    <a:r>
                      <a:rPr b="1" sz="12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Sectors!$A$2:$A$5</c:f>
            </c:strRef>
          </c:cat>
          <c:val>
            <c:numRef>
              <c:f>Sectors!$B$2:$B$5</c:f>
              <c:numCache/>
            </c:numRef>
          </c:val>
        </c:ser>
        <c:dLbls>
          <c:showLegendKey val="0"/>
          <c:showVal val="0"/>
          <c:showCatName val="0"/>
          <c:showSerName val="0"/>
          <c:showPercent val="0"/>
          <c:showBubbleSize val="0"/>
        </c:dLbls>
        <c:holeSize val="25"/>
      </c:doughnutChart>
    </c:plotArea>
    <c:legend>
      <c:legendPos val="b"/>
      <c:overlay val="0"/>
      <c:txPr>
        <a:bodyPr/>
        <a:lstStyle/>
        <a:p>
          <a:pPr lvl="0">
            <a:defRPr b="0" sz="1400">
              <a:solidFill>
                <a:srgbClr val="1A1A1A"/>
              </a:solidFill>
              <a:latin typeface="+mn-lt"/>
            </a:defRPr>
          </a:pPr>
        </a:p>
      </c:txPr>
    </c:legend>
    <c:plotVisOnly val="1"/>
  </c:chart>
</c:chartSpace>
</file>

<file path=xl/charts/chart4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9619190096251262"/>
          <c:y val="0.09907834101382475"/>
          <c:w val="0.8883572378419451"/>
          <c:h val="0.7091183802976505"/>
        </c:manualLayout>
      </c:layout>
      <c:lineChart>
        <c:varyColors val="0"/>
        <c:ser>
          <c:idx val="0"/>
          <c:order val="0"/>
          <c:tx>
            <c:strRef>
              <c:f>Emissions!$C$17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Emissions!$C$18:$C$34</c:f>
              <c:numCache/>
            </c:numRef>
          </c:val>
          <c:smooth val="1"/>
        </c:ser>
        <c:axId val="129408868"/>
        <c:axId val="1136806556"/>
      </c:lineChart>
      <c:catAx>
        <c:axId val="12940886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136806556"/>
      </c:catAx>
      <c:valAx>
        <c:axId val="113680655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29408868"/>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4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9619190096251262"/>
          <c:y val="0.1728110599078341"/>
          <c:w val="0.8883572378419451"/>
          <c:h val="0.6353856614036412"/>
        </c:manualLayout>
      </c:layout>
      <c:lineChart>
        <c:varyColors val="0"/>
        <c:ser>
          <c:idx val="0"/>
          <c:order val="0"/>
          <c:tx>
            <c:strRef>
              <c:f>Emissions!$E$17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Emissions!$E$18:$E$34</c:f>
              <c:numCache/>
            </c:numRef>
          </c:val>
          <c:smooth val="1"/>
        </c:ser>
        <c:axId val="473216532"/>
        <c:axId val="969605126"/>
      </c:lineChart>
      <c:catAx>
        <c:axId val="47321653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969605126"/>
      </c:catAx>
      <c:valAx>
        <c:axId val="969605126"/>
        <c:scaling>
          <c:orientation val="minMax"/>
          <c:max val="500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473216532"/>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4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9619190096251262"/>
          <c:y val="0.09907834101382475"/>
          <c:w val="0.8883572378419451"/>
          <c:h val="0.7091183802976505"/>
        </c:manualLayout>
      </c:layout>
      <c:lineChart>
        <c:varyColors val="0"/>
        <c:ser>
          <c:idx val="0"/>
          <c:order val="0"/>
          <c:tx>
            <c:strRef>
              <c:f>Emissions!$D$17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Emissions!$D$18:$D$34</c:f>
              <c:numCache/>
            </c:numRef>
          </c:val>
          <c:smooth val="1"/>
        </c:ser>
        <c:axId val="1171381962"/>
        <c:axId val="1168892314"/>
      </c:lineChart>
      <c:catAx>
        <c:axId val="117138196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168892314"/>
      </c:catAx>
      <c:valAx>
        <c:axId val="116889231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171381962"/>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4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9619190096251262"/>
          <c:y val="0.09907834101382475"/>
          <c:w val="0.8883572378419451"/>
          <c:h val="0.7091183802976505"/>
        </c:manualLayout>
      </c:layout>
      <c:lineChart>
        <c:varyColors val="0"/>
        <c:ser>
          <c:idx val="0"/>
          <c:order val="0"/>
          <c:tx>
            <c:strRef>
              <c:f>Emissions!$F$17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Emissions!$F$18:$F$34</c:f>
              <c:numCache/>
            </c:numRef>
          </c:val>
          <c:smooth val="1"/>
        </c:ser>
        <c:axId val="1557194799"/>
        <c:axId val="1906786293"/>
      </c:lineChart>
      <c:catAx>
        <c:axId val="15571947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906786293"/>
      </c:catAx>
      <c:valAx>
        <c:axId val="190678629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557194799"/>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37500000000000026"/>
          <c:y val="0.0403899721448468"/>
          <c:w val="0.918942749922406"/>
          <c:h val="0.8680184362635616"/>
        </c:manualLayout>
      </c:layout>
      <c:doughnutChart>
        <c:varyColors val="1"/>
        <c:ser>
          <c:idx val="0"/>
          <c:order val="0"/>
          <c:tx>
            <c:strRef>
              <c:f>Sectors!$B$1</c:f>
            </c:strRef>
          </c:tx>
          <c:dPt>
            <c:idx val="0"/>
            <c:explosion val="1"/>
            <c:spPr>
              <a:solidFill>
                <a:srgbClr val="608F66"/>
              </a:solidFill>
            </c:spPr>
          </c:dPt>
          <c:dPt>
            <c:idx val="1"/>
            <c:explosion val="1"/>
            <c:spPr>
              <a:solidFill>
                <a:srgbClr val="274766"/>
              </a:solidFill>
            </c:spPr>
          </c:dPt>
          <c:dPt>
            <c:idx val="2"/>
            <c:explosion val="1"/>
            <c:spPr>
              <a:solidFill>
                <a:srgbClr val="DFA398"/>
              </a:solidFill>
            </c:spPr>
          </c:dPt>
          <c:dPt>
            <c:idx val="3"/>
            <c:explosion val="1"/>
            <c:spPr>
              <a:solidFill>
                <a:srgbClr val="AB9084"/>
              </a:solidFill>
            </c:spPr>
          </c:dPt>
          <c:dLbls>
            <c:dLbl>
              <c:idx val="0"/>
              <c:tx>
                <c:rich>
                  <a:bodyPr/>
                  <a:lstStyle/>
                  <a:p>
                    <a:pPr lvl="0">
                      <a:defRPr b="1" sz="1200">
                        <a:solidFill>
                          <a:srgbClr val="000000"/>
                        </a:solidFill>
                        <a:latin typeface="+mn-lt"/>
                      </a:defRPr>
                    </a:pPr>
                    <a:r>
                      <a:rPr b="1" sz="1200">
                        <a:solidFill>
                          <a:srgbClr val="000000"/>
                        </a:solidFill>
                        <a:latin typeface="+mn-lt"/>
                      </a:rPr>
                      <a:t>Building</a:t>
                    </a:r>
                  </a:p>
                </c:rich>
              </c:tx>
              <c:showLegendKey val="0"/>
              <c:showVal val="0"/>
              <c:showCatName val="0"/>
              <c:showSerName val="0"/>
              <c:showPercent val="0"/>
              <c:showBubbleSize val="0"/>
            </c:dLbl>
            <c:dLbl>
              <c:idx val="1"/>
              <c:tx>
                <c:rich>
                  <a:bodyPr/>
                  <a:lstStyle/>
                  <a:p>
                    <a:pPr lvl="0">
                      <a:defRPr b="1" sz="1200">
                        <a:solidFill>
                          <a:srgbClr val="000000"/>
                        </a:solidFill>
                        <a:latin typeface="+mn-lt"/>
                      </a:defRPr>
                    </a:pPr>
                    <a:r>
                      <a:rPr b="1" sz="1200">
                        <a:solidFill>
                          <a:srgbClr val="000000"/>
                        </a:solidFill>
                        <a:latin typeface="+mn-lt"/>
                      </a:rPr>
                      <a:t>Fleet</a:t>
                    </a:r>
                  </a:p>
                </c:rich>
              </c:tx>
              <c:showLegendKey val="0"/>
              <c:showVal val="0"/>
              <c:showCatName val="0"/>
              <c:showSerName val="0"/>
              <c:showPercent val="0"/>
              <c:showBubbleSize val="0"/>
            </c:dLbl>
            <c:dLbl>
              <c:idx val="2"/>
              <c:tx>
                <c:rich>
                  <a:bodyPr/>
                  <a:lstStyle/>
                  <a:p>
                    <a:pPr lvl="0">
                      <a:defRPr b="1" sz="1200">
                        <a:solidFill>
                          <a:srgbClr val="000000"/>
                        </a:solidFill>
                        <a:latin typeface="+mn-lt"/>
                      </a:defRPr>
                    </a:pPr>
                    <a:r>
                      <a:rPr b="1" sz="1200">
                        <a:solidFill>
                          <a:srgbClr val="000000"/>
                        </a:solidFill>
                        <a:latin typeface="+mn-lt"/>
                      </a:rPr>
                      <a:t>Streetlighting</a:t>
                    </a:r>
                  </a:p>
                </c:rich>
              </c:tx>
              <c:showLegendKey val="0"/>
              <c:showVal val="0"/>
              <c:showCatName val="0"/>
              <c:showSerName val="0"/>
              <c:showPercent val="0"/>
              <c:showBubbleSize val="0"/>
            </c:dLbl>
            <c:dLbl>
              <c:idx val="3"/>
              <c:tx>
                <c:rich>
                  <a:bodyPr/>
                  <a:lstStyle/>
                  <a:p>
                    <a:pPr lvl="0">
                      <a:defRPr b="1" sz="1200">
                        <a:solidFill>
                          <a:srgbClr val="000000"/>
                        </a:solidFill>
                        <a:latin typeface="+mn-lt"/>
                      </a:defRPr>
                    </a:pPr>
                    <a:r>
                      <a:rPr b="1" sz="12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Sectors!$A$2:$A$5</c:f>
            </c:strRef>
          </c:cat>
          <c:val>
            <c:numRef>
              <c:f>Sectors!$B$2:$B$5</c:f>
              <c:numCache/>
            </c:numRef>
          </c:val>
        </c:ser>
        <c:dLbls>
          <c:showLegendKey val="0"/>
          <c:showVal val="0"/>
          <c:showCatName val="0"/>
          <c:showSerName val="0"/>
          <c:showPercent val="0"/>
          <c:showBubbleSize val="0"/>
        </c:dLbls>
        <c:holeSize val="25"/>
      </c:doughnutChart>
    </c:plotArea>
    <c:legend>
      <c:legendPos val="b"/>
      <c:overlay val="0"/>
      <c:txPr>
        <a:bodyPr/>
        <a:lstStyle/>
        <a:p>
          <a:pPr lvl="0">
            <a:defRPr b="0" sz="140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9619190096251264"/>
          <c:y val="0.04984894259818731"/>
          <c:w val="0.8883572378419453"/>
          <c:h val="0.7583477787132881"/>
        </c:manualLayout>
      </c:layout>
      <c:lineChart>
        <c:varyColors val="0"/>
        <c:ser>
          <c:idx val="0"/>
          <c:order val="0"/>
          <c:tx>
            <c:strRef>
              <c:f>Energy!$B$1</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Energy!$A$2:$A$18</c:f>
            </c:strRef>
          </c:cat>
          <c:val>
            <c:numRef>
              <c:f>Energy!$B$2:$B$18</c:f>
              <c:numCache/>
            </c:numRef>
          </c:val>
          <c:smooth val="1"/>
        </c:ser>
        <c:axId val="1938778930"/>
        <c:axId val="1170895339"/>
      </c:lineChart>
      <c:catAx>
        <c:axId val="193877893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1170895339"/>
      </c:catAx>
      <c:valAx>
        <c:axId val="117089533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938778930"/>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9619190096251264"/>
          <c:y val="0.04984894259818731"/>
          <c:w val="0.8883572378419453"/>
          <c:h val="0.7583477787132881"/>
        </c:manualLayout>
      </c:layout>
      <c:lineChart>
        <c:varyColors val="0"/>
        <c:ser>
          <c:idx val="0"/>
          <c:order val="0"/>
          <c:tx>
            <c:strRef>
              <c:f>Emissions!$B$17</c:f>
            </c:strRef>
          </c:tx>
          <c:spPr>
            <a:ln cmpd="sng" w="38100">
              <a:solidFill>
                <a:srgbClr val="608F66"/>
              </a:solidFill>
            </a:ln>
          </c:spPr>
          <c:marker>
            <c:symbol val="circle"/>
            <c:size val="10"/>
            <c:spPr>
              <a:solidFill>
                <a:srgbClr val="608F66"/>
              </a:solidFill>
              <a:ln cmpd="sng">
                <a:solidFill>
                  <a:srgbClr val="608F66"/>
                </a:solidFill>
              </a:ln>
            </c:spPr>
          </c:marker>
          <c:trendline>
            <c:name/>
            <c:spPr>
              <a:ln w="19050">
                <a:solidFill>
                  <a:srgbClr val="000000"/>
                </a:solidFill>
              </a:ln>
            </c:spPr>
            <c:trendlineType val="linear"/>
            <c:dispRSqr val="0"/>
            <c:dispEq val="0"/>
          </c:trendline>
          <c:cat>
            <c:strRef>
              <c:f>Emissions!$A$18:$A$34</c:f>
            </c:strRef>
          </c:cat>
          <c:val>
            <c:numRef>
              <c:f>Emissions!$B$18:$B$34</c:f>
              <c:numCache/>
            </c:numRef>
          </c:val>
          <c:smooth val="1"/>
        </c:ser>
        <c:axId val="1645275599"/>
        <c:axId val="352322472"/>
      </c:lineChart>
      <c:catAx>
        <c:axId val="16452755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sz="1800">
                <a:solidFill>
                  <a:srgbClr val="000000"/>
                </a:solidFill>
                <a:latin typeface="+mn-lt"/>
              </a:defRPr>
            </a:pPr>
          </a:p>
        </c:txPr>
        <c:crossAx val="352322472"/>
      </c:catAx>
      <c:valAx>
        <c:axId val="35232247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sz="1600">
                    <a:solidFill>
                      <a:srgbClr val="000000"/>
                    </a:solidFill>
                    <a:latin typeface="+mn-lt"/>
                  </a:defRPr>
                </a:pPr>
                <a:r>
                  <a:rPr b="0" sz="1600">
                    <a:solidFill>
                      <a:srgbClr val="000000"/>
                    </a:solidFill>
                    <a:latin typeface="+mn-lt"/>
                  </a:rPr>
                  <a:t>Emissions (TC02e)</a:t>
                </a:r>
              </a:p>
            </c:rich>
          </c:tx>
          <c:layout>
            <c:manualLayout>
              <c:xMode val="edge"/>
              <c:yMode val="edge"/>
              <c:x val="0.021695990737647164"/>
              <c:y val="0.09066921136555234"/>
            </c:manualLayout>
          </c:layout>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645275599"/>
      </c:valAx>
    </c:plotArea>
    <c:legend>
      <c:legendPos val="r"/>
      <c:layout>
        <c:manualLayout>
          <c:xMode val="edge"/>
          <c:yMode val="edge"/>
          <c:x val="0.3442536173378926"/>
          <c:y val="0.9294066548103279"/>
        </c:manualLayout>
      </c:layout>
      <c:overlay val="0"/>
      <c:txPr>
        <a:bodyPr/>
        <a:lstStyle/>
        <a:p>
          <a:pPr lvl="0">
            <a:defRPr b="0" sz="1400">
              <a:solidFill>
                <a:srgbClr val="1A1A1A"/>
              </a:solidFill>
              <a:latin typeface="+mn-lt"/>
            </a:defRPr>
          </a:pPr>
        </a:p>
      </c:txPr>
    </c:legend>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doughnutChart>
        <c:varyColors val="1"/>
        <c:ser>
          <c:idx val="0"/>
          <c:order val="0"/>
          <c:dPt>
            <c:idx val="0"/>
            <c:spPr>
              <a:solidFill>
                <a:srgbClr val="608F66"/>
              </a:solidFill>
              <a:ln cmpd="sng" w="9525">
                <a:solidFill>
                  <a:srgbClr val="FFFFFF"/>
                </a:solidFill>
              </a:ln>
            </c:spPr>
          </c:dPt>
          <c:dLbls>
            <c:showLegendKey val="0"/>
            <c:showVal val="0"/>
            <c:showCatName val="0"/>
            <c:showSerName val="0"/>
            <c:showPercent val="0"/>
            <c:showBubbleSize val="0"/>
            <c:showLeaderLines val="1"/>
          </c:dLbls>
          <c:cat>
            <c:strRef>
              <c:f>Energy!$C$1:$F$1</c:f>
            </c:strRef>
          </c:cat>
          <c:val>
            <c:numRef>
              <c:f>Energy!$C$18:$F$18</c:f>
              <c:numCache/>
            </c:numRef>
          </c:val>
        </c:ser>
        <c:dLbls>
          <c:showLegendKey val="0"/>
          <c:showVal val="0"/>
          <c:showCatName val="0"/>
          <c:showSerName val="0"/>
          <c:showPercent val="0"/>
          <c:showBubbleSize val="0"/>
        </c:dLbls>
        <c:holeSize val="25"/>
      </c:doughnutChart>
    </c:plotArea>
    <c:legend>
      <c:legendPos val="b"/>
      <c:overlay val="0"/>
      <c:txPr>
        <a:bodyPr/>
        <a:lstStyle/>
        <a:p>
          <a:pPr lvl="0">
            <a:defRPr b="0" sz="1400">
              <a:solidFill>
                <a:srgbClr val="1A1A1A"/>
              </a:solidFill>
              <a:latin typeface="+mn-lt"/>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sz="2400">
                <a:solidFill>
                  <a:schemeClr val="dk1"/>
                </a:solidFill>
                <a:latin typeface="+mn-lt"/>
              </a:defRPr>
            </a:pPr>
            <a:r>
              <a:rPr b="0" sz="2400">
                <a:solidFill>
                  <a:schemeClr val="dk1"/>
                </a:solidFill>
                <a:latin typeface="+mn-lt"/>
              </a:rPr>
              <a:t>Emissions per Sector</a:t>
            </a:r>
          </a:p>
        </c:rich>
      </c:tx>
      <c:layout>
        <c:manualLayout>
          <c:xMode val="edge"/>
          <c:yMode val="edge"/>
          <c:x val="0.01136634844868735"/>
          <c:y val="0.01420840907591218"/>
        </c:manualLayout>
      </c:layout>
      <c:overlay val="0"/>
    </c:title>
    <c:plotArea>
      <c:layout>
        <c:manualLayout>
          <c:xMode val="edge"/>
          <c:yMode val="edge"/>
          <c:x val="0.03750000000000001"/>
          <c:y val="0.12696629213483132"/>
          <c:w val="0.9189427499224059"/>
          <c:h val="0.7814421162735768"/>
        </c:manualLayout>
      </c:layout>
      <c:doughnutChart>
        <c:varyColors val="1"/>
        <c:ser>
          <c:idx val="0"/>
          <c:order val="0"/>
          <c:tx>
            <c:strRef>
              <c:f>Sectors!$B$1</c:f>
            </c:strRef>
          </c:tx>
          <c:dPt>
            <c:idx val="0"/>
            <c:explosion val="1"/>
            <c:spPr>
              <a:solidFill>
                <a:srgbClr val="6DB33C"/>
              </a:solidFill>
              <a:ln cmpd="sng" w="9525">
                <a:solidFill>
                  <a:schemeClr val="accent2"/>
                </a:solidFill>
              </a:ln>
            </c:spPr>
          </c:dPt>
          <c:dPt>
            <c:idx val="1"/>
            <c:explosion val="1"/>
            <c:spPr>
              <a:solidFill>
                <a:srgbClr val="274766"/>
              </a:solidFill>
              <a:ln cmpd="sng" w="9525">
                <a:solidFill>
                  <a:schemeClr val="accent2"/>
                </a:solidFill>
              </a:ln>
            </c:spPr>
          </c:dPt>
          <c:dPt>
            <c:idx val="2"/>
            <c:explosion val="1"/>
            <c:spPr>
              <a:solidFill>
                <a:srgbClr val="98D3ED"/>
              </a:solidFill>
              <a:ln cmpd="sng" w="9525">
                <a:solidFill>
                  <a:schemeClr val="accent2"/>
                </a:solidFill>
              </a:ln>
            </c:spPr>
          </c:dPt>
          <c:dPt>
            <c:idx val="3"/>
            <c:explosion val="1"/>
            <c:spPr>
              <a:solidFill>
                <a:srgbClr val="C4FF99"/>
              </a:solidFill>
              <a:ln cmpd="sng" w="9525">
                <a:solidFill>
                  <a:schemeClr val="accent2"/>
                </a:solidFill>
              </a:ln>
            </c:spPr>
          </c:dPt>
          <c:dLbls>
            <c:dLbl>
              <c:idx val="0"/>
              <c:tx>
                <c:rich>
                  <a:bodyPr/>
                  <a:lstStyle/>
                  <a:p>
                    <a:pPr lvl="0">
                      <a:defRPr b="1" sz="1200">
                        <a:solidFill>
                          <a:srgbClr val="000000"/>
                        </a:solidFill>
                        <a:latin typeface="+mn-lt"/>
                      </a:defRPr>
                    </a:pPr>
                    <a:r>
                      <a:rPr b="1" sz="1200">
                        <a:solidFill>
                          <a:srgbClr val="000000"/>
                        </a:solidFill>
                        <a:latin typeface="+mn-lt"/>
                      </a:rPr>
                      <a:t>Building</a:t>
                    </a:r>
                  </a:p>
                </c:rich>
              </c:tx>
              <c:showLegendKey val="0"/>
              <c:showVal val="0"/>
              <c:showCatName val="0"/>
              <c:showSerName val="0"/>
              <c:showPercent val="0"/>
              <c:showBubbleSize val="0"/>
            </c:dLbl>
            <c:dLbl>
              <c:idx val="1"/>
              <c:tx>
                <c:rich>
                  <a:bodyPr/>
                  <a:lstStyle/>
                  <a:p>
                    <a:pPr lvl="0">
                      <a:defRPr b="1" sz="1200">
                        <a:solidFill>
                          <a:srgbClr val="000000"/>
                        </a:solidFill>
                        <a:latin typeface="+mn-lt"/>
                      </a:defRPr>
                    </a:pPr>
                    <a:r>
                      <a:rPr b="1" sz="1200">
                        <a:solidFill>
                          <a:srgbClr val="000000"/>
                        </a:solidFill>
                        <a:latin typeface="+mn-lt"/>
                      </a:rPr>
                      <a:t>Fleet</a:t>
                    </a:r>
                  </a:p>
                </c:rich>
              </c:tx>
              <c:showLegendKey val="0"/>
              <c:showVal val="0"/>
              <c:showCatName val="0"/>
              <c:showSerName val="0"/>
              <c:showPercent val="0"/>
              <c:showBubbleSize val="0"/>
            </c:dLbl>
            <c:dLbl>
              <c:idx val="2"/>
              <c:tx>
                <c:rich>
                  <a:bodyPr/>
                  <a:lstStyle/>
                  <a:p>
                    <a:pPr lvl="0">
                      <a:defRPr b="1" sz="1200">
                        <a:solidFill>
                          <a:srgbClr val="000000"/>
                        </a:solidFill>
                        <a:latin typeface="+mn-lt"/>
                      </a:defRPr>
                    </a:pPr>
                    <a:r>
                      <a:rPr b="1" sz="1200">
                        <a:solidFill>
                          <a:srgbClr val="000000"/>
                        </a:solidFill>
                        <a:latin typeface="+mn-lt"/>
                      </a:rPr>
                      <a:t>Streetlighting</a:t>
                    </a:r>
                  </a:p>
                </c:rich>
              </c:tx>
              <c:showLegendKey val="0"/>
              <c:showVal val="0"/>
              <c:showCatName val="0"/>
              <c:showSerName val="0"/>
              <c:showPercent val="0"/>
              <c:showBubbleSize val="0"/>
            </c:dLbl>
            <c:dLbl>
              <c:idx val="3"/>
              <c:tx>
                <c:rich>
                  <a:bodyPr/>
                  <a:lstStyle/>
                  <a:p>
                    <a:pPr lvl="0">
                      <a:defRPr b="1" sz="1200">
                        <a:solidFill>
                          <a:srgbClr val="000000"/>
                        </a:solidFill>
                        <a:latin typeface="+mn-lt"/>
                      </a:defRPr>
                    </a:pPr>
                    <a:r>
                      <a:rPr b="1" sz="1200">
                        <a:solidFill>
                          <a:srgbClr val="000000"/>
                        </a:solidFill>
                        <a:latin typeface="+mn-lt"/>
                      </a:rPr>
                      <a:t>Wastewater</a:t>
                    </a:r>
                  </a:p>
                </c:rich>
              </c:tx>
              <c:showLegendKey val="0"/>
              <c:showVal val="0"/>
              <c:showCatName val="0"/>
              <c:showSerName val="0"/>
              <c:showPercent val="0"/>
              <c:showBubbleSize val="0"/>
            </c:dLbl>
            <c:showLegendKey val="0"/>
            <c:showVal val="0"/>
            <c:showCatName val="0"/>
            <c:showSerName val="0"/>
            <c:showPercent val="0"/>
            <c:showBubbleSize val="0"/>
            <c:showLeaderLines val="1"/>
          </c:dLbls>
          <c:cat>
            <c:strRef>
              <c:f>Sectors!$A$2:$A$5</c:f>
            </c:strRef>
          </c:cat>
          <c:val>
            <c:numRef>
              <c:f>Sectors!$B$2:$B$5</c:f>
              <c:numCache/>
            </c:numRef>
          </c:val>
        </c:ser>
        <c:dLbls>
          <c:showLegendKey val="0"/>
          <c:showVal val="0"/>
          <c:showCatName val="0"/>
          <c:showSerName val="0"/>
          <c:showPercent val="0"/>
          <c:showBubbleSize val="0"/>
        </c:dLbls>
        <c:holeSize val="50"/>
      </c:doughnutChart>
    </c:plotArea>
    <c:legend>
      <c:legendPos val="b"/>
      <c:overlay val="0"/>
      <c:txPr>
        <a:bodyPr/>
        <a:lstStyle/>
        <a:p>
          <a:pPr lvl="0">
            <a:defRPr b="0" sz="1400">
              <a:solidFill>
                <a:srgbClr val="1A1A1A"/>
              </a:solidFill>
              <a:latin typeface="+mn-lt"/>
            </a:defRPr>
          </a:pPr>
        </a:p>
      </c:txPr>
    </c:legend>
    <c:plotVisOnly val="1"/>
  </c:chart>
</c:chartSpace>
</file>

<file path=xl/drawings/_rels/drawing10.xml.rels><?xml version="1.0" encoding="UTF-8" standalone="yes"?><Relationships xmlns="http://schemas.openxmlformats.org/package/2006/relationships"><Relationship Id="rId1" Type="http://schemas.openxmlformats.org/officeDocument/2006/relationships/chart" Target="../charts/chart37.xml"/><Relationship Id="rId2" Type="http://schemas.openxmlformats.org/officeDocument/2006/relationships/chart" Target="../charts/chart38.xml"/><Relationship Id="rId3" Type="http://schemas.openxmlformats.org/officeDocument/2006/relationships/chart" Target="../charts/chart39.xml"/><Relationship Id="rId4" Type="http://schemas.openxmlformats.org/officeDocument/2006/relationships/chart" Target="../charts/chart40.xml"/><Relationship Id="rId5"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41.xml"/><Relationship Id="rId2" Type="http://schemas.openxmlformats.org/officeDocument/2006/relationships/chart" Target="../charts/chart42.xml"/><Relationship Id="rId3" Type="http://schemas.openxmlformats.org/officeDocument/2006/relationships/chart" Target="../charts/chart43.xml"/><Relationship Id="rId4" Type="http://schemas.openxmlformats.org/officeDocument/2006/relationships/chart" Target="../charts/chart44.xml"/><Relationship Id="rId5" Type="http://schemas.openxmlformats.org/officeDocument/2006/relationships/chart" Target="../charts/chart45.xml"/><Relationship Id="rId6" Type="http://schemas.openxmlformats.org/officeDocument/2006/relationships/chart" Target="../charts/chart46.xml"/><Relationship Id="rId7"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image" Target="../media/Chart8.png"/></Relationships>
</file>

<file path=xl/drawings/_rels/drawing3.xml.rels><?xml version="1.0" encoding="UTF-8" standalone="yes"?><Relationships xmlns="http://schemas.openxmlformats.org/package/2006/relationships"><Relationship Id="rId1" Type="http://schemas.openxmlformats.org/officeDocument/2006/relationships/image" Target="../media/Chart3.png"/><Relationship Id="rId2"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0" Type="http://schemas.openxmlformats.org/officeDocument/2006/relationships/chart" Target="../charts/chart12.xml"/><Relationship Id="rId22" Type="http://schemas.openxmlformats.org/officeDocument/2006/relationships/chart" Target="../charts/chart14.xml"/><Relationship Id="rId21" Type="http://schemas.openxmlformats.org/officeDocument/2006/relationships/chart" Target="../charts/chart13.xml"/><Relationship Id="rId24" Type="http://schemas.openxmlformats.org/officeDocument/2006/relationships/chart" Target="../charts/chart16.xml"/><Relationship Id="rId23" Type="http://schemas.openxmlformats.org/officeDocument/2006/relationships/chart" Target="../charts/chart15.xml"/><Relationship Id="rId1" Type="http://schemas.openxmlformats.org/officeDocument/2006/relationships/chart" Target="../charts/chart5.xml"/><Relationship Id="rId2" Type="http://schemas.openxmlformats.org/officeDocument/2006/relationships/chart" Target="../charts/chart6.xml"/><Relationship Id="rId3" Type="http://schemas.openxmlformats.org/officeDocument/2006/relationships/chart" Target="../charts/chart7.xml"/><Relationship Id="rId4" Type="http://schemas.openxmlformats.org/officeDocument/2006/relationships/image" Target="../media/Chart9.png"/><Relationship Id="rId9" Type="http://schemas.openxmlformats.org/officeDocument/2006/relationships/image" Target="../media/Chart46.png"/><Relationship Id="rId26" Type="http://schemas.openxmlformats.org/officeDocument/2006/relationships/chart" Target="../charts/chart18.xml"/><Relationship Id="rId25" Type="http://schemas.openxmlformats.org/officeDocument/2006/relationships/chart" Target="../charts/chart17.xml"/><Relationship Id="rId28" Type="http://schemas.openxmlformats.org/officeDocument/2006/relationships/chart" Target="../charts/chart20.xml"/><Relationship Id="rId27" Type="http://schemas.openxmlformats.org/officeDocument/2006/relationships/chart" Target="../charts/chart19.xml"/><Relationship Id="rId5" Type="http://schemas.openxmlformats.org/officeDocument/2006/relationships/image" Target="../media/Chart41.png"/><Relationship Id="rId6" Type="http://schemas.openxmlformats.org/officeDocument/2006/relationships/chart" Target="../charts/chart8.xml"/><Relationship Id="rId29" Type="http://schemas.openxmlformats.org/officeDocument/2006/relationships/chart" Target="../charts/chart21.xml"/><Relationship Id="rId7" Type="http://schemas.openxmlformats.org/officeDocument/2006/relationships/chart" Target="../charts/chart9.xml"/><Relationship Id="rId8" Type="http://schemas.openxmlformats.org/officeDocument/2006/relationships/image" Target="../media/Chart45.png"/><Relationship Id="rId30" Type="http://schemas.openxmlformats.org/officeDocument/2006/relationships/chart" Target="../charts/chart22.xml"/><Relationship Id="rId11" Type="http://schemas.openxmlformats.org/officeDocument/2006/relationships/image" Target="../media/Chart48.png"/><Relationship Id="rId10" Type="http://schemas.openxmlformats.org/officeDocument/2006/relationships/image" Target="../media/Chart47.png"/><Relationship Id="rId13" Type="http://schemas.openxmlformats.org/officeDocument/2006/relationships/image" Target="../media/Chart50.png"/><Relationship Id="rId12" Type="http://schemas.openxmlformats.org/officeDocument/2006/relationships/image" Target="../media/Chart49.png"/><Relationship Id="rId15" Type="http://schemas.openxmlformats.org/officeDocument/2006/relationships/image" Target="../media/Chart52.png"/><Relationship Id="rId14" Type="http://schemas.openxmlformats.org/officeDocument/2006/relationships/image" Target="../media/Chart51.png"/><Relationship Id="rId17" Type="http://schemas.openxmlformats.org/officeDocument/2006/relationships/image" Target="../media/Chart54.png"/><Relationship Id="rId16" Type="http://schemas.openxmlformats.org/officeDocument/2006/relationships/chart" Target="../charts/chart10.xml"/><Relationship Id="rId19" Type="http://schemas.openxmlformats.org/officeDocument/2006/relationships/chart" Target="../charts/chart11.xml"/><Relationship Id="rId18" Type="http://schemas.openxmlformats.org/officeDocument/2006/relationships/image" Target="../media/Chart55.png"/></Relationships>
</file>

<file path=xl/drawings/_rels/drawing8.xml.rels><?xml version="1.0" encoding="UTF-8" standalone="yes"?><Relationships xmlns="http://schemas.openxmlformats.org/package/2006/relationships"><Relationship Id="rId1" Type="http://schemas.openxmlformats.org/officeDocument/2006/relationships/chart" Target="../charts/chart23.xml"/><Relationship Id="rId2" Type="http://schemas.openxmlformats.org/officeDocument/2006/relationships/chart" Target="../charts/chart24.xml"/><Relationship Id="rId3" Type="http://schemas.openxmlformats.org/officeDocument/2006/relationships/chart" Target="../charts/chart25.xml"/><Relationship Id="rId4" Type="http://schemas.openxmlformats.org/officeDocument/2006/relationships/chart" Target="../charts/chart26.xml"/><Relationship Id="rId5" Type="http://schemas.openxmlformats.org/officeDocument/2006/relationships/chart" Target="../charts/chart2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8.xml"/><Relationship Id="rId2" Type="http://schemas.openxmlformats.org/officeDocument/2006/relationships/chart" Target="../charts/chart29.xml"/><Relationship Id="rId3" Type="http://schemas.openxmlformats.org/officeDocument/2006/relationships/chart" Target="../charts/chart30.xml"/><Relationship Id="rId4" Type="http://schemas.openxmlformats.org/officeDocument/2006/relationships/chart" Target="../charts/chart31.xml"/><Relationship Id="rId9" Type="http://schemas.openxmlformats.org/officeDocument/2006/relationships/image" Target="../media/Chart24.png"/><Relationship Id="rId5" Type="http://schemas.openxmlformats.org/officeDocument/2006/relationships/chart" Target="../charts/chart32.xml"/><Relationship Id="rId6" Type="http://schemas.openxmlformats.org/officeDocument/2006/relationships/image" Target="../media/Chart20.png"/><Relationship Id="rId7" Type="http://schemas.openxmlformats.org/officeDocument/2006/relationships/image" Target="../media/Chart21.png"/><Relationship Id="rId8" Type="http://schemas.openxmlformats.org/officeDocument/2006/relationships/image" Target="../media/Chart22.png"/><Relationship Id="rId11" Type="http://schemas.openxmlformats.org/officeDocument/2006/relationships/image" Target="../media/Chart32.png"/><Relationship Id="rId10" Type="http://schemas.openxmlformats.org/officeDocument/2006/relationships/chart" Target="../charts/chart33.xml"/><Relationship Id="rId13" Type="http://schemas.openxmlformats.org/officeDocument/2006/relationships/chart" Target="../charts/chart34.xml"/><Relationship Id="rId12" Type="http://schemas.openxmlformats.org/officeDocument/2006/relationships/image" Target="../media/Chart37.png"/><Relationship Id="rId15" Type="http://schemas.openxmlformats.org/officeDocument/2006/relationships/image" Target="../media/Chart40.png"/><Relationship Id="rId14" Type="http://schemas.openxmlformats.org/officeDocument/2006/relationships/chart" Target="../charts/chart35.xml"/><Relationship Id="rId17" Type="http://schemas.openxmlformats.org/officeDocument/2006/relationships/image" Target="../media/image2.png"/><Relationship Id="rId16" Type="http://schemas.openxmlformats.org/officeDocument/2006/relationships/chart" Target="../charts/chart3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952500</xdr:colOff>
      <xdr:row>20</xdr:row>
      <xdr:rowOff>0</xdr:rowOff>
    </xdr:from>
    <xdr:ext cx="7391400" cy="3533775"/>
    <xdr:graphicFrame>
      <xdr:nvGraphicFramePr>
        <xdr:cNvPr id="25" name="Chart 25"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952500</xdr:colOff>
      <xdr:row>71</xdr:row>
      <xdr:rowOff>180975</xdr:rowOff>
    </xdr:from>
    <xdr:ext cx="7391400" cy="3533775"/>
    <xdr:graphicFrame>
      <xdr:nvGraphicFramePr>
        <xdr:cNvPr id="26" name="Chart 26"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952500</xdr:colOff>
      <xdr:row>91</xdr:row>
      <xdr:rowOff>28575</xdr:rowOff>
    </xdr:from>
    <xdr:ext cx="3648075" cy="3533775"/>
    <xdr:graphicFrame>
      <xdr:nvGraphicFramePr>
        <xdr:cNvPr id="27" name="Chart 27"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3</xdr:col>
      <xdr:colOff>600075</xdr:colOff>
      <xdr:row>91</xdr:row>
      <xdr:rowOff>28575</xdr:rowOff>
    </xdr:from>
    <xdr:ext cx="3581400" cy="3533775"/>
    <xdr:graphicFrame>
      <xdr:nvGraphicFramePr>
        <xdr:cNvPr id="28" name="Chart 28"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1</xdr:col>
      <xdr:colOff>0</xdr:colOff>
      <xdr:row>0</xdr:row>
      <xdr:rowOff>0</xdr:rowOff>
    </xdr:from>
    <xdr:ext cx="1990725" cy="314325"/>
    <xdr:pic>
      <xdr:nvPicPr>
        <xdr:cNvPr id="0" name="image1.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19</xdr:row>
      <xdr:rowOff>0</xdr:rowOff>
    </xdr:from>
    <xdr:ext cx="7629525" cy="3152775"/>
    <xdr:graphicFrame>
      <xdr:nvGraphicFramePr>
        <xdr:cNvPr id="30" name="Chart 30"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4</xdr:col>
      <xdr:colOff>609600</xdr:colOff>
      <xdr:row>3</xdr:row>
      <xdr:rowOff>257175</xdr:rowOff>
    </xdr:from>
    <xdr:ext cx="3048000" cy="2924175"/>
    <xdr:graphicFrame>
      <xdr:nvGraphicFramePr>
        <xdr:cNvPr id="31" name="Chart 31"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xdr:col>
      <xdr:colOff>0</xdr:colOff>
      <xdr:row>41</xdr:row>
      <xdr:rowOff>95250</xdr:rowOff>
    </xdr:from>
    <xdr:ext cx="7629525" cy="2066925"/>
    <xdr:graphicFrame>
      <xdr:nvGraphicFramePr>
        <xdr:cNvPr id="33" name="Chart 33"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1</xdr:col>
      <xdr:colOff>0</xdr:colOff>
      <xdr:row>55</xdr:row>
      <xdr:rowOff>95250</xdr:rowOff>
    </xdr:from>
    <xdr:ext cx="7629525" cy="2066925"/>
    <xdr:graphicFrame>
      <xdr:nvGraphicFramePr>
        <xdr:cNvPr id="34" name="Chart 34"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1</xdr:col>
      <xdr:colOff>0</xdr:colOff>
      <xdr:row>48</xdr:row>
      <xdr:rowOff>95250</xdr:rowOff>
    </xdr:from>
    <xdr:ext cx="7629525" cy="2209800"/>
    <xdr:graphicFrame>
      <xdr:nvGraphicFramePr>
        <xdr:cNvPr id="35" name="Chart 35" title="Chart"/>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1</xdr:col>
      <xdr:colOff>0</xdr:colOff>
      <xdr:row>61</xdr:row>
      <xdr:rowOff>95250</xdr:rowOff>
    </xdr:from>
    <xdr:ext cx="7629525" cy="2066925"/>
    <xdr:graphicFrame>
      <xdr:nvGraphicFramePr>
        <xdr:cNvPr id="36" name="Chart 36" title="Chart"/>
        <xdr:cNvGraphicFramePr/>
      </xdr:nvGraphicFramePr>
      <xdr:xfrm>
        <a:off x="0" y="0"/>
        <a:ext cx="0" cy="0"/>
      </xdr:xfrm>
      <a:graphic>
        <a:graphicData uri="http://schemas.openxmlformats.org/drawingml/2006/chart">
          <c:chart r:id="rId6"/>
        </a:graphicData>
      </a:graphic>
    </xdr:graphicFrame>
    <xdr:clientData fLocksWithSheet="0"/>
  </xdr:oneCellAnchor>
  <xdr:oneCellAnchor>
    <xdr:from>
      <xdr:col>1</xdr:col>
      <xdr:colOff>0</xdr:colOff>
      <xdr:row>0</xdr:row>
      <xdr:rowOff>0</xdr:rowOff>
    </xdr:from>
    <xdr:ext cx="2038350" cy="323850"/>
    <xdr:pic>
      <xdr:nvPicPr>
        <xdr:cNvPr id="0" name="image1.png"/>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1209675</xdr:colOff>
      <xdr:row>1</xdr:row>
      <xdr:rowOff>285750</xdr:rowOff>
    </xdr:from>
    <xdr:ext cx="3162300" cy="29051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0</xdr:colOff>
      <xdr:row>36</xdr:row>
      <xdr:rowOff>9525</xdr:rowOff>
    </xdr:from>
    <xdr:ext cx="7639050" cy="2905125"/>
    <xdr:graphicFrame>
      <xdr:nvGraphicFramePr>
        <xdr:cNvPr id="4" name="Chart 4"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0</xdr:colOff>
      <xdr:row>1</xdr:row>
      <xdr:rowOff>285750</xdr:rowOff>
    </xdr:from>
    <xdr:ext cx="7639050" cy="2905125"/>
    <xdr:graphicFrame>
      <xdr:nvGraphicFramePr>
        <xdr:cNvPr id="6" name="Chart 6"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9</xdr:col>
      <xdr:colOff>114300</xdr:colOff>
      <xdr:row>16</xdr:row>
      <xdr:rowOff>304800</xdr:rowOff>
    </xdr:from>
    <xdr:ext cx="8248650" cy="3533775"/>
    <xdr:pic>
      <xdr:nvPicPr>
        <xdr:cNvPr id="317495844" name="Chart8" title="Chart">
          <a:extLst>
            <a:ext uri="GoogleSheetsCustomDataVersion1">
              <go:sheetsCustomData xmlns:go="http://customooxmlschemas.google.com/" pictureOfChart="1"/>
            </a:ext>
          </a:extLst>
        </xdr:cNvPr>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733425</xdr:colOff>
      <xdr:row>0</xdr:row>
      <xdr:rowOff>57150</xdr:rowOff>
    </xdr:from>
    <xdr:ext cx="5715000" cy="3533775"/>
    <xdr:pic>
      <xdr:nvPicPr>
        <xdr:cNvPr id="1321247501" name="Chart3" title="Chart">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600075</xdr:colOff>
      <xdr:row>19</xdr:row>
      <xdr:rowOff>66675</xdr:rowOff>
    </xdr:from>
    <xdr:ext cx="5715000" cy="3533775"/>
    <xdr:graphicFrame>
      <xdr:nvGraphicFramePr>
        <xdr:cNvPr id="23" name="Chart 23" title="Chart"/>
        <xdr:cNvGraphicFramePr/>
      </xdr:nvGraphicFramePr>
      <xdr:xfrm>
        <a:off x="0" y="0"/>
        <a:ext cx="0" cy="0"/>
      </xdr:xfrm>
      <a:graphic>
        <a:graphicData uri="http://schemas.openxmlformats.org/drawingml/2006/chart">
          <c:chart r:id="rId2"/>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133350</xdr:colOff>
      <xdr:row>4</xdr:row>
      <xdr:rowOff>247650</xdr:rowOff>
    </xdr:from>
    <xdr:ext cx="3990975" cy="3390900"/>
    <xdr:graphicFrame>
      <xdr:nvGraphicFramePr>
        <xdr:cNvPr id="2" name="Chart 2"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0</xdr:colOff>
      <xdr:row>62</xdr:row>
      <xdr:rowOff>0</xdr:rowOff>
    </xdr:from>
    <xdr:ext cx="9410700" cy="3152775"/>
    <xdr:graphicFrame>
      <xdr:nvGraphicFramePr>
        <xdr:cNvPr id="5" name="Chart 5"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xdr:col>
      <xdr:colOff>0</xdr:colOff>
      <xdr:row>21</xdr:row>
      <xdr:rowOff>0</xdr:rowOff>
    </xdr:from>
    <xdr:ext cx="9410700" cy="3152775"/>
    <xdr:graphicFrame>
      <xdr:nvGraphicFramePr>
        <xdr:cNvPr id="7" name="Chart 7"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1</xdr:col>
      <xdr:colOff>0</xdr:colOff>
      <xdr:row>80</xdr:row>
      <xdr:rowOff>247650</xdr:rowOff>
    </xdr:from>
    <xdr:ext cx="9410700" cy="4324350"/>
    <xdr:pic>
      <xdr:nvPicPr>
        <xdr:cNvPr id="354617614" name="Chart9" title="Chart">
          <a:extLst>
            <a:ext uri="GoogleSheetsCustomDataVersion1">
              <go:sheetsCustomData xmlns:go="http://customooxmlschemas.google.com/" pictureOfChart="1"/>
            </a:ext>
          </a:extLst>
        </xdr:cNvPr>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117</xdr:row>
      <xdr:rowOff>0</xdr:rowOff>
    </xdr:from>
    <xdr:ext cx="9410700" cy="4324350"/>
    <xdr:pic>
      <xdr:nvPicPr>
        <xdr:cNvPr id="1229957174" name="Chart41" title="Chart">
          <a:extLst>
            <a:ext uri="GoogleSheetsCustomDataVersion1">
              <go:sheetsCustomData xmlns:go="http://customooxmlschemas.google.com/" pictureOfChart="1"/>
            </a:ext>
          </a:extLst>
        </xdr:cNvPr>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114300</xdr:colOff>
      <xdr:row>105</xdr:row>
      <xdr:rowOff>0</xdr:rowOff>
    </xdr:from>
    <xdr:ext cx="5448300" cy="3476625"/>
    <xdr:graphicFrame>
      <xdr:nvGraphicFramePr>
        <xdr:cNvPr id="43" name="Chart 43" title="Chart"/>
        <xdr:cNvGraphicFramePr/>
      </xdr:nvGraphicFramePr>
      <xdr:xfrm>
        <a:off x="0" y="0"/>
        <a:ext cx="0" cy="0"/>
      </xdr:xfrm>
      <a:graphic>
        <a:graphicData uri="http://schemas.openxmlformats.org/drawingml/2006/chart">
          <c:chart r:id="rId6"/>
        </a:graphicData>
      </a:graphic>
    </xdr:graphicFrame>
    <xdr:clientData fLocksWithSheet="0"/>
  </xdr:oneCellAnchor>
  <xdr:oneCellAnchor>
    <xdr:from>
      <xdr:col>10</xdr:col>
      <xdr:colOff>628650</xdr:colOff>
      <xdr:row>146</xdr:row>
      <xdr:rowOff>0</xdr:rowOff>
    </xdr:from>
    <xdr:ext cx="3990975" cy="4238625"/>
    <xdr:graphicFrame>
      <xdr:nvGraphicFramePr>
        <xdr:cNvPr id="44" name="Chart 44" title="Chart"/>
        <xdr:cNvGraphicFramePr/>
      </xdr:nvGraphicFramePr>
      <xdr:xfrm>
        <a:off x="0" y="0"/>
        <a:ext cx="0" cy="0"/>
      </xdr:xfrm>
      <a:graphic>
        <a:graphicData uri="http://schemas.openxmlformats.org/drawingml/2006/chart">
          <c:chart r:id="rId7"/>
        </a:graphicData>
      </a:graphic>
    </xdr:graphicFrame>
    <xdr:clientData fLocksWithSheet="0"/>
  </xdr:oneCellAnchor>
  <xdr:oneCellAnchor>
    <xdr:from>
      <xdr:col>0</xdr:col>
      <xdr:colOff>142875</xdr:colOff>
      <xdr:row>139</xdr:row>
      <xdr:rowOff>114300</xdr:rowOff>
    </xdr:from>
    <xdr:ext cx="2143125" cy="1095375"/>
    <xdr:pic>
      <xdr:nvPicPr>
        <xdr:cNvPr id="204010070" name="Chart45" title="Chart">
          <a:extLst>
            <a:ext uri="GoogleSheetsCustomDataVersion1">
              <go:sheetsCustomData xmlns:go="http://customooxmlschemas.google.com/" pictureOfChart="1"/>
            </a:ext>
          </a:extLst>
        </xdr:cNvPr>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228600</xdr:colOff>
      <xdr:row>139</xdr:row>
      <xdr:rowOff>114300</xdr:rowOff>
    </xdr:from>
    <xdr:ext cx="2143125" cy="1095375"/>
    <xdr:pic>
      <xdr:nvPicPr>
        <xdr:cNvPr id="583408361" name="Chart46" title="Chart">
          <a:extLst>
            <a:ext uri="GoogleSheetsCustomDataVersion1">
              <go:sheetsCustomData xmlns:go="http://customooxmlschemas.google.com/" pictureOfChart="1"/>
            </a:ext>
          </a:extLst>
        </xdr:cNvPr>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0</xdr:colOff>
      <xdr:row>139</xdr:row>
      <xdr:rowOff>114300</xdr:rowOff>
    </xdr:from>
    <xdr:ext cx="2143125" cy="1095375"/>
    <xdr:pic>
      <xdr:nvPicPr>
        <xdr:cNvPr id="2076518251" name="Chart47" title="Chart">
          <a:extLst>
            <a:ext uri="GoogleSheetsCustomDataVersion1">
              <go:sheetsCustomData xmlns:go="http://customooxmlschemas.google.com/" pictureOfChart="1"/>
            </a:ext>
          </a:extLst>
        </xdr:cNvPr>
        <xdr:cNvPicPr preferRelativeResize="0"/>
      </xdr:nvPicPr>
      <xdr:blipFill>
        <a:blip cstate="print" r:embed="rId10"/>
        <a:stretch>
          <a:fillRect/>
        </a:stretch>
      </xdr:blipFill>
      <xdr:spPr>
        <a:prstGeom prst="rect">
          <a:avLst/>
        </a:prstGeom>
        <a:noFill/>
      </xdr:spPr>
    </xdr:pic>
    <xdr:clientData fLocksWithSheet="0"/>
  </xdr:oneCellAnchor>
  <xdr:oneCellAnchor>
    <xdr:from>
      <xdr:col>13</xdr:col>
      <xdr:colOff>657225</xdr:colOff>
      <xdr:row>139</xdr:row>
      <xdr:rowOff>114300</xdr:rowOff>
    </xdr:from>
    <xdr:ext cx="1933575" cy="1095375"/>
    <xdr:pic>
      <xdr:nvPicPr>
        <xdr:cNvPr id="1613817770" name="Chart48" title="Chart">
          <a:extLst>
            <a:ext uri="GoogleSheetsCustomDataVersion1">
              <go:sheetsCustomData xmlns:go="http://customooxmlschemas.google.com/" pictureOfChart="1"/>
            </a:ext>
          </a:extLst>
        </xdr:cNvPr>
        <xdr:cNvPicPr preferRelativeResize="0"/>
      </xdr:nvPicPr>
      <xdr:blipFill>
        <a:blip cstate="print" r:embed="rId11"/>
        <a:stretch>
          <a:fillRect/>
        </a:stretch>
      </xdr:blipFill>
      <xdr:spPr>
        <a:prstGeom prst="rect">
          <a:avLst/>
        </a:prstGeom>
        <a:noFill/>
      </xdr:spPr>
    </xdr:pic>
    <xdr:clientData fLocksWithSheet="0"/>
  </xdr:oneCellAnchor>
  <xdr:oneCellAnchor>
    <xdr:from>
      <xdr:col>0</xdr:col>
      <xdr:colOff>142875</xdr:colOff>
      <xdr:row>169</xdr:row>
      <xdr:rowOff>114300</xdr:rowOff>
    </xdr:from>
    <xdr:ext cx="2143125" cy="1095375"/>
    <xdr:pic>
      <xdr:nvPicPr>
        <xdr:cNvPr id="1856036944" name="Chart49" title="Chart">
          <a:extLst>
            <a:ext uri="GoogleSheetsCustomDataVersion1">
              <go:sheetsCustomData xmlns:go="http://customooxmlschemas.google.com/" pictureOfChart="1"/>
            </a:ext>
          </a:extLst>
        </xdr:cNvPr>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685800</xdr:colOff>
      <xdr:row>169</xdr:row>
      <xdr:rowOff>114300</xdr:rowOff>
    </xdr:from>
    <xdr:ext cx="2143125" cy="1095375"/>
    <xdr:pic>
      <xdr:nvPicPr>
        <xdr:cNvPr id="1669056402" name="Chart50" title="Chart">
          <a:extLst>
            <a:ext uri="GoogleSheetsCustomDataVersion1">
              <go:sheetsCustomData xmlns:go="http://customooxmlschemas.google.com/" pictureOfChart="1"/>
            </a:ext>
          </a:extLst>
        </xdr:cNvPr>
        <xdr:cNvPicPr preferRelativeResize="0"/>
      </xdr:nvPicPr>
      <xdr:blipFill>
        <a:blip cstate="print" r:embed="rId13"/>
        <a:stretch>
          <a:fillRect/>
        </a:stretch>
      </xdr:blipFill>
      <xdr:spPr>
        <a:prstGeom prst="rect">
          <a:avLst/>
        </a:prstGeom>
        <a:noFill/>
      </xdr:spPr>
    </xdr:pic>
    <xdr:clientData fLocksWithSheet="0"/>
  </xdr:oneCellAnchor>
  <xdr:oneCellAnchor>
    <xdr:from>
      <xdr:col>8</xdr:col>
      <xdr:colOff>561975</xdr:colOff>
      <xdr:row>169</xdr:row>
      <xdr:rowOff>114300</xdr:rowOff>
    </xdr:from>
    <xdr:ext cx="2143125" cy="1095375"/>
    <xdr:pic>
      <xdr:nvPicPr>
        <xdr:cNvPr id="480709860" name="Chart51" title="Chart">
          <a:extLst>
            <a:ext uri="GoogleSheetsCustomDataVersion1">
              <go:sheetsCustomData xmlns:go="http://customooxmlschemas.google.com/" pictureOfChart="1"/>
            </a:ext>
          </a:extLst>
        </xdr:cNvPr>
        <xdr:cNvPicPr preferRelativeResize="0"/>
      </xdr:nvPicPr>
      <xdr:blipFill>
        <a:blip cstate="print" r:embed="rId14"/>
        <a:stretch>
          <a:fillRect/>
        </a:stretch>
      </xdr:blipFill>
      <xdr:spPr>
        <a:prstGeom prst="rect">
          <a:avLst/>
        </a:prstGeom>
        <a:noFill/>
      </xdr:spPr>
    </xdr:pic>
    <xdr:clientData fLocksWithSheet="0"/>
  </xdr:oneCellAnchor>
  <xdr:oneCellAnchor>
    <xdr:from>
      <xdr:col>13</xdr:col>
      <xdr:colOff>695325</xdr:colOff>
      <xdr:row>169</xdr:row>
      <xdr:rowOff>114300</xdr:rowOff>
    </xdr:from>
    <xdr:ext cx="1933575" cy="1095375"/>
    <xdr:pic>
      <xdr:nvPicPr>
        <xdr:cNvPr id="1087155108" name="Chart52" title="Chart">
          <a:extLst>
            <a:ext uri="GoogleSheetsCustomDataVersion1">
              <go:sheetsCustomData xmlns:go="http://customooxmlschemas.google.com/" pictureOfChart="1"/>
            </a:ext>
          </a:extLst>
        </xdr:cNvPr>
        <xdr:cNvPicPr preferRelativeResize="0"/>
      </xdr:nvPicPr>
      <xdr:blipFill>
        <a:blip cstate="print" r:embed="rId15"/>
        <a:stretch>
          <a:fillRect/>
        </a:stretch>
      </xdr:blipFill>
      <xdr:spPr>
        <a:prstGeom prst="rect">
          <a:avLst/>
        </a:prstGeom>
        <a:noFill/>
      </xdr:spPr>
    </xdr:pic>
    <xdr:clientData fLocksWithSheet="0"/>
  </xdr:oneCellAnchor>
  <xdr:oneCellAnchor>
    <xdr:from>
      <xdr:col>10</xdr:col>
      <xdr:colOff>552450</xdr:colOff>
      <xdr:row>176</xdr:row>
      <xdr:rowOff>0</xdr:rowOff>
    </xdr:from>
    <xdr:ext cx="4086225" cy="3886200"/>
    <xdr:graphicFrame>
      <xdr:nvGraphicFramePr>
        <xdr:cNvPr id="53" name="Chart 53" title="Chart"/>
        <xdr:cNvGraphicFramePr/>
      </xdr:nvGraphicFramePr>
      <xdr:xfrm>
        <a:off x="0" y="0"/>
        <a:ext cx="0" cy="0"/>
      </xdr:xfrm>
      <a:graphic>
        <a:graphicData uri="http://schemas.openxmlformats.org/drawingml/2006/chart">
          <c:chart r:id="rId16"/>
        </a:graphicData>
      </a:graphic>
    </xdr:graphicFrame>
    <xdr:clientData fLocksWithSheet="0"/>
  </xdr:oneCellAnchor>
  <xdr:oneCellAnchor>
    <xdr:from>
      <xdr:col>0</xdr:col>
      <xdr:colOff>85725</xdr:colOff>
      <xdr:row>197</xdr:row>
      <xdr:rowOff>47625</xdr:rowOff>
    </xdr:from>
    <xdr:ext cx="11087100" cy="4324350"/>
    <xdr:pic>
      <xdr:nvPicPr>
        <xdr:cNvPr id="887652991" name="Chart54" title="Chart">
          <a:extLst>
            <a:ext uri="GoogleSheetsCustomDataVersion1">
              <go:sheetsCustomData xmlns:go="http://customooxmlschemas.google.com/" pictureOfChart="1"/>
            </a:ext>
          </a:extLst>
        </xdr:cNvPr>
        <xdr:cNvPicPr preferRelativeResize="0"/>
      </xdr:nvPicPr>
      <xdr:blipFill>
        <a:blip cstate="print" r:embed="rId17"/>
        <a:stretch>
          <a:fillRect/>
        </a:stretch>
      </xdr:blipFill>
      <xdr:spPr>
        <a:prstGeom prst="rect">
          <a:avLst/>
        </a:prstGeom>
        <a:noFill/>
      </xdr:spPr>
    </xdr:pic>
    <xdr:clientData fLocksWithSheet="0"/>
  </xdr:oneCellAnchor>
  <xdr:oneCellAnchor>
    <xdr:from>
      <xdr:col>0</xdr:col>
      <xdr:colOff>95250</xdr:colOff>
      <xdr:row>220</xdr:row>
      <xdr:rowOff>0</xdr:rowOff>
    </xdr:from>
    <xdr:ext cx="11087100" cy="4324350"/>
    <xdr:pic>
      <xdr:nvPicPr>
        <xdr:cNvPr id="2005238989" name="Chart55" title="Chart">
          <a:extLst>
            <a:ext uri="GoogleSheetsCustomDataVersion1">
              <go:sheetsCustomData xmlns:go="http://customooxmlschemas.google.com/" pictureOfChart="1"/>
            </a:ext>
          </a:extLst>
        </xdr:cNvPr>
        <xdr:cNvPicPr preferRelativeResize="0"/>
      </xdr:nvPicPr>
      <xdr:blipFill>
        <a:blip cstate="print" r:embed="rId18"/>
        <a:stretch>
          <a:fillRect/>
        </a:stretch>
      </xdr:blipFill>
      <xdr:spPr>
        <a:prstGeom prst="rect">
          <a:avLst/>
        </a:prstGeom>
        <a:noFill/>
      </xdr:spPr>
    </xdr:pic>
    <xdr:clientData fLocksWithSheet="0"/>
  </xdr:oneCellAnchor>
  <xdr:oneCellAnchor>
    <xdr:from>
      <xdr:col>0</xdr:col>
      <xdr:colOff>142875</xdr:colOff>
      <xdr:row>244</xdr:row>
      <xdr:rowOff>95250</xdr:rowOff>
    </xdr:from>
    <xdr:ext cx="11039475" cy="3362325"/>
    <xdr:graphicFrame>
      <xdr:nvGraphicFramePr>
        <xdr:cNvPr id="56" name="Chart 56" title="Chart"/>
        <xdr:cNvGraphicFramePr/>
      </xdr:nvGraphicFramePr>
      <xdr:xfrm>
        <a:off x="0" y="0"/>
        <a:ext cx="0" cy="0"/>
      </xdr:xfrm>
      <a:graphic>
        <a:graphicData uri="http://schemas.openxmlformats.org/drawingml/2006/chart">
          <c:chart r:id="rId19"/>
        </a:graphicData>
      </a:graphic>
    </xdr:graphicFrame>
    <xdr:clientData fLocksWithSheet="0"/>
  </xdr:oneCellAnchor>
  <xdr:oneCellAnchor>
    <xdr:from>
      <xdr:col>0</xdr:col>
      <xdr:colOff>142875</xdr:colOff>
      <xdr:row>261</xdr:row>
      <xdr:rowOff>142875</xdr:rowOff>
    </xdr:from>
    <xdr:ext cx="11039475" cy="3743325"/>
    <xdr:graphicFrame>
      <xdr:nvGraphicFramePr>
        <xdr:cNvPr id="57" name="Chart 57" title="Chart"/>
        <xdr:cNvGraphicFramePr/>
      </xdr:nvGraphicFramePr>
      <xdr:xfrm>
        <a:off x="0" y="0"/>
        <a:ext cx="0" cy="0"/>
      </xdr:xfrm>
      <a:graphic>
        <a:graphicData uri="http://schemas.openxmlformats.org/drawingml/2006/chart">
          <c:chart r:id="rId20"/>
        </a:graphicData>
      </a:graphic>
    </xdr:graphicFrame>
    <xdr:clientData fLocksWithSheet="0"/>
  </xdr:oneCellAnchor>
  <xdr:oneCellAnchor>
    <xdr:from>
      <xdr:col>0</xdr:col>
      <xdr:colOff>142875</xdr:colOff>
      <xdr:row>299</xdr:row>
      <xdr:rowOff>142875</xdr:rowOff>
    </xdr:from>
    <xdr:ext cx="11039475" cy="3657600"/>
    <xdr:graphicFrame>
      <xdr:nvGraphicFramePr>
        <xdr:cNvPr id="58" name="Chart 58" title="Chart"/>
        <xdr:cNvGraphicFramePr/>
      </xdr:nvGraphicFramePr>
      <xdr:xfrm>
        <a:off x="0" y="0"/>
        <a:ext cx="0" cy="0"/>
      </xdr:xfrm>
      <a:graphic>
        <a:graphicData uri="http://schemas.openxmlformats.org/drawingml/2006/chart">
          <c:chart r:id="rId21"/>
        </a:graphicData>
      </a:graphic>
    </xdr:graphicFrame>
    <xdr:clientData fLocksWithSheet="0"/>
  </xdr:oneCellAnchor>
  <xdr:oneCellAnchor>
    <xdr:from>
      <xdr:col>0</xdr:col>
      <xdr:colOff>142875</xdr:colOff>
      <xdr:row>282</xdr:row>
      <xdr:rowOff>95250</xdr:rowOff>
    </xdr:from>
    <xdr:ext cx="11039475" cy="3362325"/>
    <xdr:graphicFrame>
      <xdr:nvGraphicFramePr>
        <xdr:cNvPr id="59" name="Chart 59" title="Chart"/>
        <xdr:cNvGraphicFramePr/>
      </xdr:nvGraphicFramePr>
      <xdr:xfrm>
        <a:off x="0" y="0"/>
        <a:ext cx="0" cy="0"/>
      </xdr:xfrm>
      <a:graphic>
        <a:graphicData uri="http://schemas.openxmlformats.org/drawingml/2006/chart">
          <c:chart r:id="rId22"/>
        </a:graphicData>
      </a:graphic>
    </xdr:graphicFrame>
    <xdr:clientData fLocksWithSheet="0"/>
  </xdr:oneCellAnchor>
  <xdr:oneCellAnchor>
    <xdr:from>
      <xdr:col>0</xdr:col>
      <xdr:colOff>142875</xdr:colOff>
      <xdr:row>320</xdr:row>
      <xdr:rowOff>95250</xdr:rowOff>
    </xdr:from>
    <xdr:ext cx="11039475" cy="3362325"/>
    <xdr:graphicFrame>
      <xdr:nvGraphicFramePr>
        <xdr:cNvPr id="60" name="Chart 60" title="Chart"/>
        <xdr:cNvGraphicFramePr/>
      </xdr:nvGraphicFramePr>
      <xdr:xfrm>
        <a:off x="0" y="0"/>
        <a:ext cx="0" cy="0"/>
      </xdr:xfrm>
      <a:graphic>
        <a:graphicData uri="http://schemas.openxmlformats.org/drawingml/2006/chart">
          <c:chart r:id="rId23"/>
        </a:graphicData>
      </a:graphic>
    </xdr:graphicFrame>
    <xdr:clientData fLocksWithSheet="0"/>
  </xdr:oneCellAnchor>
  <xdr:oneCellAnchor>
    <xdr:from>
      <xdr:col>0</xdr:col>
      <xdr:colOff>142875</xdr:colOff>
      <xdr:row>337</xdr:row>
      <xdr:rowOff>142875</xdr:rowOff>
    </xdr:from>
    <xdr:ext cx="11039475" cy="3657600"/>
    <xdr:graphicFrame>
      <xdr:nvGraphicFramePr>
        <xdr:cNvPr id="61" name="Chart 61" title="Chart"/>
        <xdr:cNvGraphicFramePr/>
      </xdr:nvGraphicFramePr>
      <xdr:xfrm>
        <a:off x="0" y="0"/>
        <a:ext cx="0" cy="0"/>
      </xdr:xfrm>
      <a:graphic>
        <a:graphicData uri="http://schemas.openxmlformats.org/drawingml/2006/chart">
          <c:chart r:id="rId24"/>
        </a:graphicData>
      </a:graphic>
    </xdr:graphicFrame>
    <xdr:clientData fLocksWithSheet="0"/>
  </xdr:oneCellAnchor>
  <xdr:oneCellAnchor>
    <xdr:from>
      <xdr:col>0</xdr:col>
      <xdr:colOff>142875</xdr:colOff>
      <xdr:row>375</xdr:row>
      <xdr:rowOff>142875</xdr:rowOff>
    </xdr:from>
    <xdr:ext cx="11039475" cy="3657600"/>
    <xdr:graphicFrame>
      <xdr:nvGraphicFramePr>
        <xdr:cNvPr id="62" name="Chart 62" title="Chart"/>
        <xdr:cNvGraphicFramePr/>
      </xdr:nvGraphicFramePr>
      <xdr:xfrm>
        <a:off x="0" y="0"/>
        <a:ext cx="0" cy="0"/>
      </xdr:xfrm>
      <a:graphic>
        <a:graphicData uri="http://schemas.openxmlformats.org/drawingml/2006/chart">
          <c:chart r:id="rId25"/>
        </a:graphicData>
      </a:graphic>
    </xdr:graphicFrame>
    <xdr:clientData fLocksWithSheet="0"/>
  </xdr:oneCellAnchor>
  <xdr:oneCellAnchor>
    <xdr:from>
      <xdr:col>0</xdr:col>
      <xdr:colOff>142875</xdr:colOff>
      <xdr:row>358</xdr:row>
      <xdr:rowOff>95250</xdr:rowOff>
    </xdr:from>
    <xdr:ext cx="11039475" cy="3362325"/>
    <xdr:graphicFrame>
      <xdr:nvGraphicFramePr>
        <xdr:cNvPr id="63" name="Chart 63" title="Chart"/>
        <xdr:cNvGraphicFramePr/>
      </xdr:nvGraphicFramePr>
      <xdr:xfrm>
        <a:off x="0" y="0"/>
        <a:ext cx="0" cy="0"/>
      </xdr:xfrm>
      <a:graphic>
        <a:graphicData uri="http://schemas.openxmlformats.org/drawingml/2006/chart">
          <c:chart r:id="rId26"/>
        </a:graphicData>
      </a:graphic>
    </xdr:graphicFrame>
    <xdr:clientData fLocksWithSheet="0"/>
  </xdr:oneCellAnchor>
  <xdr:oneCellAnchor>
    <xdr:from>
      <xdr:col>0</xdr:col>
      <xdr:colOff>142875</xdr:colOff>
      <xdr:row>398</xdr:row>
      <xdr:rowOff>95250</xdr:rowOff>
    </xdr:from>
    <xdr:ext cx="11039475" cy="5495925"/>
    <xdr:graphicFrame>
      <xdr:nvGraphicFramePr>
        <xdr:cNvPr id="64" name="Chart 64" title="Chart"/>
        <xdr:cNvGraphicFramePr/>
      </xdr:nvGraphicFramePr>
      <xdr:xfrm>
        <a:off x="0" y="0"/>
        <a:ext cx="0" cy="0"/>
      </xdr:xfrm>
      <a:graphic>
        <a:graphicData uri="http://schemas.openxmlformats.org/drawingml/2006/chart">
          <c:chart r:id="rId27"/>
        </a:graphicData>
      </a:graphic>
    </xdr:graphicFrame>
    <xdr:clientData fLocksWithSheet="0"/>
  </xdr:oneCellAnchor>
  <xdr:oneCellAnchor>
    <xdr:from>
      <xdr:col>18</xdr:col>
      <xdr:colOff>85725</xdr:colOff>
      <xdr:row>176</xdr:row>
      <xdr:rowOff>0</xdr:rowOff>
    </xdr:from>
    <xdr:ext cx="7153275" cy="3562350"/>
    <xdr:graphicFrame>
      <xdr:nvGraphicFramePr>
        <xdr:cNvPr id="65" name="Chart 65" title="Chart"/>
        <xdr:cNvGraphicFramePr/>
      </xdr:nvGraphicFramePr>
      <xdr:xfrm>
        <a:off x="0" y="0"/>
        <a:ext cx="0" cy="0"/>
      </xdr:xfrm>
      <a:graphic>
        <a:graphicData uri="http://schemas.openxmlformats.org/drawingml/2006/chart">
          <c:chart r:id="rId28"/>
        </a:graphicData>
      </a:graphic>
    </xdr:graphicFrame>
    <xdr:clientData fLocksWithSheet="0"/>
  </xdr:oneCellAnchor>
  <xdr:oneCellAnchor>
    <xdr:from>
      <xdr:col>0</xdr:col>
      <xdr:colOff>142875</xdr:colOff>
      <xdr:row>176</xdr:row>
      <xdr:rowOff>0</xdr:rowOff>
    </xdr:from>
    <xdr:ext cx="6838950" cy="3886200"/>
    <xdr:graphicFrame>
      <xdr:nvGraphicFramePr>
        <xdr:cNvPr id="66" name="Chart 66" title="Chart"/>
        <xdr:cNvGraphicFramePr/>
      </xdr:nvGraphicFramePr>
      <xdr:xfrm>
        <a:off x="0" y="0"/>
        <a:ext cx="0" cy="0"/>
      </xdr:xfrm>
      <a:graphic>
        <a:graphicData uri="http://schemas.openxmlformats.org/drawingml/2006/chart">
          <c:chart r:id="rId29"/>
        </a:graphicData>
      </a:graphic>
    </xdr:graphicFrame>
    <xdr:clientData fLocksWithSheet="0"/>
  </xdr:oneCellAnchor>
  <xdr:oneCellAnchor>
    <xdr:from>
      <xdr:col>0</xdr:col>
      <xdr:colOff>142875</xdr:colOff>
      <xdr:row>146</xdr:row>
      <xdr:rowOff>0</xdr:rowOff>
    </xdr:from>
    <xdr:ext cx="6838950" cy="4238625"/>
    <xdr:graphicFrame>
      <xdr:nvGraphicFramePr>
        <xdr:cNvPr id="67" name="Chart 67" title="Chart"/>
        <xdr:cNvGraphicFramePr/>
      </xdr:nvGraphicFramePr>
      <xdr:xfrm>
        <a:off x="0" y="0"/>
        <a:ext cx="0" cy="0"/>
      </xdr:xfrm>
      <a:graphic>
        <a:graphicData uri="http://schemas.openxmlformats.org/drawingml/2006/chart">
          <c:chart r:id="rId30"/>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xdr:colOff>
      <xdr:row>84</xdr:row>
      <xdr:rowOff>66675</xdr:rowOff>
    </xdr:from>
    <xdr:ext cx="5600700" cy="3533775"/>
    <xdr:graphicFrame>
      <xdr:nvGraphicFramePr>
        <xdr:cNvPr id="10" name="Chart 10"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409575</xdr:colOff>
      <xdr:row>16</xdr:row>
      <xdr:rowOff>47625</xdr:rowOff>
    </xdr:from>
    <xdr:ext cx="4429125" cy="3533775"/>
    <xdr:graphicFrame>
      <xdr:nvGraphicFramePr>
        <xdr:cNvPr id="11" name="Chart 11"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0</xdr:colOff>
      <xdr:row>16</xdr:row>
      <xdr:rowOff>47625</xdr:rowOff>
    </xdr:from>
    <xdr:ext cx="6743700" cy="3533775"/>
    <xdr:graphicFrame>
      <xdr:nvGraphicFramePr>
        <xdr:cNvPr id="12" name="Chart 12"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0</xdr:col>
      <xdr:colOff>0</xdr:colOff>
      <xdr:row>34</xdr:row>
      <xdr:rowOff>133350</xdr:rowOff>
    </xdr:from>
    <xdr:ext cx="6743700" cy="3533775"/>
    <xdr:graphicFrame>
      <xdr:nvGraphicFramePr>
        <xdr:cNvPr id="13" name="Chart 13"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5</xdr:col>
      <xdr:colOff>409575</xdr:colOff>
      <xdr:row>34</xdr:row>
      <xdr:rowOff>133350</xdr:rowOff>
    </xdr:from>
    <xdr:ext cx="4429125" cy="3533775"/>
    <xdr:graphicFrame>
      <xdr:nvGraphicFramePr>
        <xdr:cNvPr id="14" name="Chart 14" title="Chart"/>
        <xdr:cNvGraphicFramePr/>
      </xdr:nvGraphicFramePr>
      <xdr:xfrm>
        <a:off x="0" y="0"/>
        <a:ext cx="0" cy="0"/>
      </xdr:xfrm>
      <a:graphic>
        <a:graphicData uri="http://schemas.openxmlformats.org/drawingml/2006/chart">
          <c:chart r:id="rId5"/>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10</xdr:row>
      <xdr:rowOff>95250</xdr:rowOff>
    </xdr:from>
    <xdr:ext cx="6743700" cy="3533775"/>
    <xdr:graphicFrame>
      <xdr:nvGraphicFramePr>
        <xdr:cNvPr id="15" name="Chart 15"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8</xdr:col>
      <xdr:colOff>561975</xdr:colOff>
      <xdr:row>10</xdr:row>
      <xdr:rowOff>95250</xdr:rowOff>
    </xdr:from>
    <xdr:ext cx="4429125" cy="3533775"/>
    <xdr:graphicFrame>
      <xdr:nvGraphicFramePr>
        <xdr:cNvPr id="16" name="Chart 16"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0</xdr:colOff>
      <xdr:row>28</xdr:row>
      <xdr:rowOff>180975</xdr:rowOff>
    </xdr:from>
    <xdr:ext cx="6743700" cy="3533775"/>
    <xdr:graphicFrame>
      <xdr:nvGraphicFramePr>
        <xdr:cNvPr id="17" name="Chart 17"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8</xdr:col>
      <xdr:colOff>552450</xdr:colOff>
      <xdr:row>28</xdr:row>
      <xdr:rowOff>190500</xdr:rowOff>
    </xdr:from>
    <xdr:ext cx="4429125" cy="3533775"/>
    <xdr:graphicFrame>
      <xdr:nvGraphicFramePr>
        <xdr:cNvPr id="18" name="Chart 18"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0</xdr:col>
      <xdr:colOff>0</xdr:colOff>
      <xdr:row>46</xdr:row>
      <xdr:rowOff>190500</xdr:rowOff>
    </xdr:from>
    <xdr:ext cx="6743700" cy="3533775"/>
    <xdr:graphicFrame>
      <xdr:nvGraphicFramePr>
        <xdr:cNvPr id="19" name="Chart 19" title="Chart"/>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0</xdr:col>
      <xdr:colOff>142875</xdr:colOff>
      <xdr:row>68</xdr:row>
      <xdr:rowOff>114300</xdr:rowOff>
    </xdr:from>
    <xdr:ext cx="2286000" cy="1095375"/>
    <xdr:pic>
      <xdr:nvPicPr>
        <xdr:cNvPr id="1250153340" name="Chart20" title="Chart">
          <a:extLst>
            <a:ext uri="GoogleSheetsCustomDataVersion1">
              <go:sheetsCustomData xmlns:go="http://customooxmlschemas.google.com/" pictureOfChart="1"/>
            </a:ext>
          </a:extLst>
        </xdr:cNvPr>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942975</xdr:colOff>
      <xdr:row>68</xdr:row>
      <xdr:rowOff>114300</xdr:rowOff>
    </xdr:from>
    <xdr:ext cx="2447925" cy="1095375"/>
    <xdr:pic>
      <xdr:nvPicPr>
        <xdr:cNvPr id="544441304" name="Chart21" title="Chart">
          <a:extLst>
            <a:ext uri="GoogleSheetsCustomDataVersion1">
              <go:sheetsCustomData xmlns:go="http://customooxmlschemas.google.com/" pictureOfChart="1"/>
            </a:ext>
          </a:extLst>
        </xdr:cNvPr>
        <xdr:cNvPicPr preferRelativeResize="0"/>
      </xdr:nvPicPr>
      <xdr:blipFill>
        <a:blip cstate="print" r:embed="rId7"/>
        <a:stretch>
          <a:fillRect/>
        </a:stretch>
      </xdr:blipFill>
      <xdr:spPr>
        <a:prstGeom prst="rect">
          <a:avLst/>
        </a:prstGeom>
        <a:noFill/>
      </xdr:spPr>
    </xdr:pic>
    <xdr:clientData fLocksWithSheet="0"/>
  </xdr:oneCellAnchor>
  <xdr:oneCellAnchor>
    <xdr:from>
      <xdr:col>5</xdr:col>
      <xdr:colOff>333375</xdr:colOff>
      <xdr:row>68</xdr:row>
      <xdr:rowOff>114300</xdr:rowOff>
    </xdr:from>
    <xdr:ext cx="2447925" cy="1095375"/>
    <xdr:pic>
      <xdr:nvPicPr>
        <xdr:cNvPr id="1494380502" name="Chart22" title="Chart">
          <a:extLst>
            <a:ext uri="GoogleSheetsCustomDataVersion1">
              <go:sheetsCustomData xmlns:go="http://customooxmlschemas.google.com/" pictureOfChart="1"/>
            </a:ext>
          </a:extLst>
        </xdr:cNvPr>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1428750</xdr:colOff>
      <xdr:row>68</xdr:row>
      <xdr:rowOff>114300</xdr:rowOff>
    </xdr:from>
    <xdr:ext cx="3438525" cy="1095375"/>
    <xdr:pic>
      <xdr:nvPicPr>
        <xdr:cNvPr id="1446867280" name="Chart24" title="Chart">
          <a:extLst>
            <a:ext uri="GoogleSheetsCustomDataVersion1">
              <go:sheetsCustomData xmlns:go="http://customooxmlschemas.google.com/" pictureOfChart="1"/>
            </a:ext>
          </a:extLst>
        </xdr:cNvPr>
        <xdr:cNvPicPr preferRelativeResize="0"/>
      </xdr:nvPicPr>
      <xdr:blipFill>
        <a:blip cstate="print" r:embed="rId9"/>
        <a:stretch>
          <a:fillRect/>
        </a:stretch>
      </xdr:blipFill>
      <xdr:spPr>
        <a:prstGeom prst="rect">
          <a:avLst/>
        </a:prstGeom>
        <a:noFill/>
      </xdr:spPr>
    </xdr:pic>
    <xdr:clientData fLocksWithSheet="0"/>
  </xdr:oneCellAnchor>
  <xdr:oneCellAnchor>
    <xdr:from>
      <xdr:col>0</xdr:col>
      <xdr:colOff>142875</xdr:colOff>
      <xdr:row>102</xdr:row>
      <xdr:rowOff>161925</xdr:rowOff>
    </xdr:from>
    <xdr:ext cx="5905500" cy="5257800"/>
    <xdr:graphicFrame>
      <xdr:nvGraphicFramePr>
        <xdr:cNvPr id="29" name="Chart 29" title="Chart"/>
        <xdr:cNvGraphicFramePr/>
      </xdr:nvGraphicFramePr>
      <xdr:xfrm>
        <a:off x="0" y="0"/>
        <a:ext cx="0" cy="0"/>
      </xdr:xfrm>
      <a:graphic>
        <a:graphicData uri="http://schemas.openxmlformats.org/drawingml/2006/chart">
          <c:chart r:id="rId10"/>
        </a:graphicData>
      </a:graphic>
    </xdr:graphicFrame>
    <xdr:clientData fLocksWithSheet="0"/>
  </xdr:oneCellAnchor>
  <xdr:oneCellAnchor>
    <xdr:from>
      <xdr:col>10</xdr:col>
      <xdr:colOff>400050</xdr:colOff>
      <xdr:row>74</xdr:row>
      <xdr:rowOff>142875</xdr:rowOff>
    </xdr:from>
    <xdr:ext cx="2209800" cy="2133600"/>
    <xdr:pic>
      <xdr:nvPicPr>
        <xdr:cNvPr id="1808115215" name="Chart32" title="Chart">
          <a:extLst>
            <a:ext uri="GoogleSheetsCustomDataVersion1">
              <go:sheetsCustomData xmlns:go="http://customooxmlschemas.google.com/" pictureOfChart="1"/>
            </a:ext>
          </a:extLst>
        </xdr:cNvPr>
        <xdr:cNvPicPr preferRelativeResize="0"/>
      </xdr:nvPicPr>
      <xdr:blipFill>
        <a:blip cstate="print" r:embed="rId11"/>
        <a:stretch>
          <a:fillRect/>
        </a:stretch>
      </xdr:blipFill>
      <xdr:spPr>
        <a:prstGeom prst="rect">
          <a:avLst/>
        </a:prstGeom>
        <a:noFill/>
      </xdr:spPr>
    </xdr:pic>
    <xdr:clientData fLocksWithSheet="0"/>
  </xdr:oneCellAnchor>
  <xdr:oneCellAnchor>
    <xdr:from>
      <xdr:col>10</xdr:col>
      <xdr:colOff>400050</xdr:colOff>
      <xdr:row>85</xdr:row>
      <xdr:rowOff>152400</xdr:rowOff>
    </xdr:from>
    <xdr:ext cx="2209800" cy="2133600"/>
    <xdr:pic>
      <xdr:nvPicPr>
        <xdr:cNvPr id="1649486842" name="Chart37" title="Chart">
          <a:extLst>
            <a:ext uri="GoogleSheetsCustomDataVersion1">
              <go:sheetsCustomData xmlns:go="http://customooxmlschemas.google.com/" pictureOfChart="1"/>
            </a:ext>
          </a:extLst>
        </xdr:cNvPr>
        <xdr:cNvPicPr preferRelativeResize="0"/>
      </xdr:nvPicPr>
      <xdr:blipFill>
        <a:blip cstate="print" r:embed="rId12"/>
        <a:stretch>
          <a:fillRect/>
        </a:stretch>
      </xdr:blipFill>
      <xdr:spPr>
        <a:prstGeom prst="rect">
          <a:avLst/>
        </a:prstGeom>
        <a:noFill/>
      </xdr:spPr>
    </xdr:pic>
    <xdr:clientData fLocksWithSheet="0"/>
  </xdr:oneCellAnchor>
  <xdr:oneCellAnchor>
    <xdr:from>
      <xdr:col>0</xdr:col>
      <xdr:colOff>142875</xdr:colOff>
      <xdr:row>74</xdr:row>
      <xdr:rowOff>142875</xdr:rowOff>
    </xdr:from>
    <xdr:ext cx="8610600" cy="4352925"/>
    <xdr:graphicFrame>
      <xdr:nvGraphicFramePr>
        <xdr:cNvPr id="38" name="Chart 38" title="Chart"/>
        <xdr:cNvGraphicFramePr/>
      </xdr:nvGraphicFramePr>
      <xdr:xfrm>
        <a:off x="0" y="0"/>
        <a:ext cx="0" cy="0"/>
      </xdr:xfrm>
      <a:graphic>
        <a:graphicData uri="http://schemas.openxmlformats.org/drawingml/2006/chart">
          <c:chart r:id="rId13"/>
        </a:graphicData>
      </a:graphic>
    </xdr:graphicFrame>
    <xdr:clientData fLocksWithSheet="0"/>
  </xdr:oneCellAnchor>
  <xdr:oneCellAnchor>
    <xdr:from>
      <xdr:col>8</xdr:col>
      <xdr:colOff>352425</xdr:colOff>
      <xdr:row>102</xdr:row>
      <xdr:rowOff>161925</xdr:rowOff>
    </xdr:from>
    <xdr:ext cx="4429125" cy="5257800"/>
    <xdr:graphicFrame>
      <xdr:nvGraphicFramePr>
        <xdr:cNvPr id="39" name="Chart 39" title="Chart"/>
        <xdr:cNvGraphicFramePr/>
      </xdr:nvGraphicFramePr>
      <xdr:xfrm>
        <a:off x="0" y="0"/>
        <a:ext cx="0" cy="0"/>
      </xdr:xfrm>
      <a:graphic>
        <a:graphicData uri="http://schemas.openxmlformats.org/drawingml/2006/chart">
          <c:chart r:id="rId14"/>
        </a:graphicData>
      </a:graphic>
    </xdr:graphicFrame>
    <xdr:clientData fLocksWithSheet="0"/>
  </xdr:oneCellAnchor>
  <xdr:oneCellAnchor>
    <xdr:from>
      <xdr:col>0</xdr:col>
      <xdr:colOff>142875</xdr:colOff>
      <xdr:row>98</xdr:row>
      <xdr:rowOff>76200</xdr:rowOff>
    </xdr:from>
    <xdr:ext cx="11077575" cy="2428875"/>
    <xdr:pic>
      <xdr:nvPicPr>
        <xdr:cNvPr id="344585443" name="Chart40" title="Chart">
          <a:extLst>
            <a:ext uri="GoogleSheetsCustomDataVersion1">
              <go:sheetsCustomData xmlns:go="http://customooxmlschemas.google.com/" pictureOfChart="1"/>
            </a:ext>
          </a:extLst>
        </xdr:cNvPr>
        <xdr:cNvPicPr preferRelativeResize="0"/>
      </xdr:nvPicPr>
      <xdr:blipFill>
        <a:blip cstate="print" r:embed="rId15"/>
        <a:stretch>
          <a:fillRect/>
        </a:stretch>
      </xdr:blipFill>
      <xdr:spPr>
        <a:prstGeom prst="rect">
          <a:avLst/>
        </a:prstGeom>
        <a:noFill/>
      </xdr:spPr>
    </xdr:pic>
    <xdr:clientData fLocksWithSheet="0"/>
  </xdr:oneCellAnchor>
  <xdr:oneCellAnchor>
    <xdr:from>
      <xdr:col>0</xdr:col>
      <xdr:colOff>142875</xdr:colOff>
      <xdr:row>131</xdr:row>
      <xdr:rowOff>95250</xdr:rowOff>
    </xdr:from>
    <xdr:ext cx="10991850" cy="3533775"/>
    <xdr:graphicFrame>
      <xdr:nvGraphicFramePr>
        <xdr:cNvPr id="42" name="Chart 42" title="Chart"/>
        <xdr:cNvGraphicFramePr/>
      </xdr:nvGraphicFramePr>
      <xdr:xfrm>
        <a:off x="0" y="0"/>
        <a:ext cx="0" cy="0"/>
      </xdr:xfrm>
      <a:graphic>
        <a:graphicData uri="http://schemas.openxmlformats.org/drawingml/2006/chart">
          <c:chart r:id="rId16"/>
        </a:graphicData>
      </a:graphic>
    </xdr:graphicFrame>
    <xdr:clientData fLocksWithSheet="0"/>
  </xdr:oneCellAnchor>
  <xdr:oneCellAnchor>
    <xdr:from>
      <xdr:col>11</xdr:col>
      <xdr:colOff>0</xdr:colOff>
      <xdr:row>6</xdr:row>
      <xdr:rowOff>0</xdr:rowOff>
    </xdr:from>
    <xdr:ext cx="447675" cy="447675"/>
    <xdr:pic>
      <xdr:nvPicPr>
        <xdr:cNvPr id="0" name="image2.png"/>
        <xdr:cNvPicPr preferRelativeResize="0"/>
      </xdr:nvPicPr>
      <xdr:blipFill>
        <a:blip cstate="print" r:embed="rId17"/>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608F66"/>
      </a:accent1>
      <a:accent2>
        <a:srgbClr val="274766"/>
      </a:accent2>
      <a:accent3>
        <a:srgbClr val="DFA398"/>
      </a:accent3>
      <a:accent4>
        <a:srgbClr val="AB9084"/>
      </a:accent4>
      <a:accent5>
        <a:srgbClr val="613942"/>
      </a:accent5>
      <a:accent6>
        <a:srgbClr val="E68CA5"/>
      </a:accent6>
      <a:hlink>
        <a:srgbClr val="608F66"/>
      </a:hlink>
      <a:folHlink>
        <a:srgbClr val="608F66"/>
      </a:folHlink>
    </a:clrScheme>
    <a:fontScheme name="Sheets">
      <a:majorFont>
        <a:latin typeface="Roboto"/>
        <a:ea typeface="Roboto"/>
        <a:cs typeface="Roboto"/>
      </a:majorFont>
      <a:minorFont>
        <a:latin typeface="Roboto"/>
        <a:ea typeface="Roboto"/>
        <a:cs typeface="Robo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jotform.com/edit/5218092433421752150" TargetMode="External"/><Relationship Id="rId2" Type="http://schemas.openxmlformats.org/officeDocument/2006/relationships/hyperlink" Target="https://www.jotform.com/edit/5218092563423501021" TargetMode="External"/><Relationship Id="rId3" Type="http://schemas.openxmlformats.org/officeDocument/2006/relationships/hyperlink" Target="https://www.jotform.com/edit/5218092693423941460" TargetMode="External"/><Relationship Id="rId4" Type="http://schemas.openxmlformats.org/officeDocument/2006/relationships/hyperlink" Target="https://www.jotform.com/edit/5218092803427955634" TargetMode="External"/><Relationship Id="rId9" Type="http://schemas.openxmlformats.org/officeDocument/2006/relationships/hyperlink" Target="https://www.jotform.com/edit/5218093303423580541" TargetMode="External"/><Relationship Id="rId5" Type="http://schemas.openxmlformats.org/officeDocument/2006/relationships/hyperlink" Target="https://www.jotform.com/edit/5218092913425388978" TargetMode="External"/><Relationship Id="rId6" Type="http://schemas.openxmlformats.org/officeDocument/2006/relationships/hyperlink" Target="https://www.jotform.com/edit/5218093023427072110" TargetMode="External"/><Relationship Id="rId7" Type="http://schemas.openxmlformats.org/officeDocument/2006/relationships/hyperlink" Target="https://www.jotform.com/edit/5218093123422480927" TargetMode="External"/><Relationship Id="rId8" Type="http://schemas.openxmlformats.org/officeDocument/2006/relationships/hyperlink" Target="https://www.jotform.com/edit/5218093213422212356" TargetMode="External"/><Relationship Id="rId11" Type="http://schemas.openxmlformats.org/officeDocument/2006/relationships/hyperlink" Target="https://www.jotform.com/edit/5218093493427782176" TargetMode="External"/><Relationship Id="rId10" Type="http://schemas.openxmlformats.org/officeDocument/2006/relationships/hyperlink" Target="https://www.jotform.com/edit/5218093393421463015" TargetMode="External"/><Relationship Id="rId13" Type="http://schemas.openxmlformats.org/officeDocument/2006/relationships/hyperlink" Target="https://www.jotform.com/edit/5218093703426297369" TargetMode="External"/><Relationship Id="rId12" Type="http://schemas.openxmlformats.org/officeDocument/2006/relationships/hyperlink" Target="https://www.jotform.com/edit/5218093613428876105" TargetMode="External"/><Relationship Id="rId15" Type="http://schemas.openxmlformats.org/officeDocument/2006/relationships/hyperlink" Target="https://www.jotform.com/edit/5218093893428433011" TargetMode="External"/><Relationship Id="rId14" Type="http://schemas.openxmlformats.org/officeDocument/2006/relationships/hyperlink" Target="https://www.jotform.com/edit/5218093803427804638" TargetMode="External"/><Relationship Id="rId17" Type="http://schemas.openxmlformats.org/officeDocument/2006/relationships/drawing" Target="../drawings/drawing2.xml"/><Relationship Id="rId16" Type="http://schemas.openxmlformats.org/officeDocument/2006/relationships/hyperlink" Target="https://www.jotform.com/edit/5218096573425188865"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jotform.com/edit/5218092433421752150" TargetMode="External"/><Relationship Id="rId2" Type="http://schemas.openxmlformats.org/officeDocument/2006/relationships/hyperlink" Target="https://www.jotform.com/edit/5218092563423501021" TargetMode="External"/><Relationship Id="rId3" Type="http://schemas.openxmlformats.org/officeDocument/2006/relationships/hyperlink" Target="https://www.jotform.com/edit/5218092693423941460" TargetMode="External"/><Relationship Id="rId4" Type="http://schemas.openxmlformats.org/officeDocument/2006/relationships/hyperlink" Target="https://www.jotform.com/edit/5218092803427955634" TargetMode="External"/><Relationship Id="rId9" Type="http://schemas.openxmlformats.org/officeDocument/2006/relationships/hyperlink" Target="https://www.jotform.com/edit/5218093303423580541" TargetMode="External"/><Relationship Id="rId5" Type="http://schemas.openxmlformats.org/officeDocument/2006/relationships/hyperlink" Target="https://www.jotform.com/edit/5218092913425388978" TargetMode="External"/><Relationship Id="rId6" Type="http://schemas.openxmlformats.org/officeDocument/2006/relationships/hyperlink" Target="https://www.jotform.com/edit/5218093023427072110" TargetMode="External"/><Relationship Id="rId7" Type="http://schemas.openxmlformats.org/officeDocument/2006/relationships/hyperlink" Target="https://www.jotform.com/edit/5218093123422480927" TargetMode="External"/><Relationship Id="rId8" Type="http://schemas.openxmlformats.org/officeDocument/2006/relationships/hyperlink" Target="https://www.jotform.com/edit/5218093213422212356" TargetMode="External"/><Relationship Id="rId11" Type="http://schemas.openxmlformats.org/officeDocument/2006/relationships/hyperlink" Target="https://www.jotform.com/edit/5218093493427782176" TargetMode="External"/><Relationship Id="rId10" Type="http://schemas.openxmlformats.org/officeDocument/2006/relationships/hyperlink" Target="https://www.jotform.com/edit/5218093393421463015" TargetMode="External"/><Relationship Id="rId13" Type="http://schemas.openxmlformats.org/officeDocument/2006/relationships/hyperlink" Target="https://www.jotform.com/edit/5218093703426297369" TargetMode="External"/><Relationship Id="rId12" Type="http://schemas.openxmlformats.org/officeDocument/2006/relationships/hyperlink" Target="https://www.jotform.com/edit/5218093613428876105" TargetMode="External"/><Relationship Id="rId15" Type="http://schemas.openxmlformats.org/officeDocument/2006/relationships/hyperlink" Target="https://www.jotform.com/edit/5218093893428433011" TargetMode="External"/><Relationship Id="rId14" Type="http://schemas.openxmlformats.org/officeDocument/2006/relationships/hyperlink" Target="https://www.jotform.com/edit/5218093803427804638" TargetMode="External"/><Relationship Id="rId17" Type="http://schemas.openxmlformats.org/officeDocument/2006/relationships/drawing" Target="../drawings/drawing3.xml"/><Relationship Id="rId16" Type="http://schemas.openxmlformats.org/officeDocument/2006/relationships/hyperlink" Target="https://www.jotform.com/edit/5218096573425188865"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jotform.com/edit/"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jotform.com/edit/5287849456712913415"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hidden="1" min="1" max="1" width="18.25"/>
    <col customWidth="1" min="2" max="2" width="19.63"/>
    <col customWidth="1" min="3" max="3" width="5.38"/>
    <col customWidth="1" min="4" max="4" width="11.75"/>
    <col customWidth="1" min="5" max="5" width="20.88"/>
    <col customWidth="1" min="6" max="6" width="16.63"/>
    <col customWidth="1" min="7" max="7" width="25.63"/>
    <col customWidth="1" min="8" max="8" width="28.63"/>
    <col customWidth="1" min="9" max="9" width="27.13"/>
    <col customWidth="1" min="10" max="10" width="16.88"/>
    <col customWidth="1" min="11" max="11" width="13.75"/>
    <col customWidth="1" min="12" max="12" width="22.75"/>
    <col customWidth="1" min="13" max="13" width="25.63"/>
    <col customWidth="1" min="14" max="14" width="20.75"/>
    <col customWidth="1" min="15" max="15" width="15.25"/>
    <col customWidth="1" min="16" max="16" width="13.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2">
        <v>44619.59202546296</v>
      </c>
      <c r="B2" s="3" t="s">
        <v>16</v>
      </c>
      <c r="C2" s="3">
        <v>2005.0</v>
      </c>
      <c r="D2" s="3">
        <v>244300.0</v>
      </c>
      <c r="E2" s="3">
        <v>10000.0</v>
      </c>
      <c r="F2" s="3">
        <v>14000.0</v>
      </c>
      <c r="G2" s="3">
        <v>3000.0</v>
      </c>
      <c r="H2" s="3">
        <v>4200.0</v>
      </c>
      <c r="I2" s="3">
        <v>31200.0</v>
      </c>
      <c r="J2" s="3">
        <v>55000.0</v>
      </c>
      <c r="K2" s="3">
        <v>140000.0</v>
      </c>
      <c r="L2" s="3">
        <v>6200.0</v>
      </c>
      <c r="M2" s="3">
        <v>12000.0</v>
      </c>
      <c r="N2" s="3">
        <v>213200.0</v>
      </c>
      <c r="O2" s="4" t="str">
        <f>TEXT("5218091513427566416","0")</f>
        <v>5218091513427566416</v>
      </c>
      <c r="P2" s="5" t="str">
        <f>HYPERLINK("https://www.jotform.com/edit/5218091513427566416","Edit")</f>
        <v>Edit</v>
      </c>
    </row>
    <row r="3">
      <c r="A3" s="2">
        <v>44619.59310185185</v>
      </c>
      <c r="B3" s="3" t="s">
        <v>16</v>
      </c>
      <c r="C3" s="3">
        <v>2006.0</v>
      </c>
      <c r="D3" s="3">
        <v>244300.0</v>
      </c>
      <c r="E3" s="3">
        <v>11000.0</v>
      </c>
      <c r="F3" s="3">
        <v>14200.0</v>
      </c>
      <c r="G3" s="3">
        <v>3300.0</v>
      </c>
      <c r="H3" s="3">
        <v>4200.0</v>
      </c>
      <c r="I3" s="3">
        <v>32700.0</v>
      </c>
      <c r="J3" s="3">
        <v>55000.0</v>
      </c>
      <c r="K3" s="3">
        <v>140000.0</v>
      </c>
      <c r="L3" s="3">
        <v>6250.0</v>
      </c>
      <c r="M3" s="3">
        <v>12100.0</v>
      </c>
      <c r="N3" s="3">
        <v>213350.0</v>
      </c>
      <c r="O3" s="4" t="str">
        <f>TEXT("5218092433421752150","0")</f>
        <v>5218092433421752150</v>
      </c>
      <c r="P3" s="5" t="str">
        <f>HYPERLINK("https://www.jotform.com/edit/5218092433421752150","Edit")</f>
        <v>Edit</v>
      </c>
    </row>
    <row r="4">
      <c r="A4" s="2">
        <v>44619.59324074074</v>
      </c>
      <c r="B4" s="3" t="s">
        <v>16</v>
      </c>
      <c r="C4" s="3">
        <v>2007.0</v>
      </c>
      <c r="D4" s="3">
        <v>244300.0</v>
      </c>
      <c r="E4" s="3">
        <v>16000.0</v>
      </c>
      <c r="F4" s="3">
        <v>15000.0</v>
      </c>
      <c r="G4" s="3">
        <v>4000.0</v>
      </c>
      <c r="H4" s="3">
        <v>5200.0</v>
      </c>
      <c r="I4" s="3">
        <v>40200.0</v>
      </c>
      <c r="J4" s="3">
        <v>55000.0</v>
      </c>
      <c r="K4" s="3">
        <v>150000.0</v>
      </c>
      <c r="L4" s="3">
        <v>6200.0</v>
      </c>
      <c r="M4" s="3">
        <v>12000.0</v>
      </c>
      <c r="N4" s="3">
        <v>223200.0</v>
      </c>
      <c r="O4" s="4" t="str">
        <f>TEXT("5218092563423501021","0")</f>
        <v>5218092563423501021</v>
      </c>
      <c r="P4" s="5" t="str">
        <f>HYPERLINK("https://www.jotform.com/edit/5218092563423501021","Edit Submission")</f>
        <v>Edit Submission</v>
      </c>
    </row>
    <row r="5">
      <c r="A5" s="2">
        <v>44619.59339120371</v>
      </c>
      <c r="B5" s="3" t="s">
        <v>16</v>
      </c>
      <c r="C5" s="3">
        <v>2008.0</v>
      </c>
      <c r="D5" s="3">
        <v>244300.0</v>
      </c>
      <c r="E5" s="3">
        <v>12000.0</v>
      </c>
      <c r="F5" s="3">
        <v>14500.0</v>
      </c>
      <c r="G5" s="3">
        <v>3500.0</v>
      </c>
      <c r="H5" s="3">
        <v>4800.0</v>
      </c>
      <c r="I5" s="3">
        <v>34800.0</v>
      </c>
      <c r="J5" s="3">
        <v>55000.0</v>
      </c>
      <c r="K5" s="3">
        <v>140000.0</v>
      </c>
      <c r="L5" s="3">
        <v>6200.0</v>
      </c>
      <c r="M5" s="3">
        <v>12000.0</v>
      </c>
      <c r="N5" s="3">
        <v>213200.0</v>
      </c>
      <c r="O5" s="4" t="str">
        <f>TEXT("5218092693423941460","0")</f>
        <v>5218092693423941460</v>
      </c>
      <c r="P5" s="5" t="str">
        <f>HYPERLINK("https://www.jotform.com/edit/5218092693423941460","Edit")</f>
        <v>Edit</v>
      </c>
    </row>
    <row r="6">
      <c r="A6" s="2">
        <v>44619.593518518515</v>
      </c>
      <c r="B6" s="3" t="s">
        <v>16</v>
      </c>
      <c r="C6" s="3">
        <v>2009.0</v>
      </c>
      <c r="D6" s="3">
        <v>244300.0</v>
      </c>
      <c r="E6" s="3">
        <v>15000.0</v>
      </c>
      <c r="F6" s="3">
        <v>14000.0</v>
      </c>
      <c r="G6" s="3">
        <v>4000.0</v>
      </c>
      <c r="H6" s="3">
        <v>4800.0</v>
      </c>
      <c r="I6" s="3">
        <v>37800.0</v>
      </c>
      <c r="J6" s="3">
        <v>55400.0</v>
      </c>
      <c r="K6" s="3">
        <v>140000.0</v>
      </c>
      <c r="L6" s="3">
        <v>6300.0</v>
      </c>
      <c r="M6" s="3">
        <v>12200.0</v>
      </c>
      <c r="N6" s="3">
        <v>213900.0</v>
      </c>
      <c r="O6" s="4" t="str">
        <f>TEXT("5218092803427955634","0")</f>
        <v>5218092803427955634</v>
      </c>
      <c r="P6" s="5" t="str">
        <f>HYPERLINK("https://www.jotform.com/edit/5218092803427955634","Edit Submission")</f>
        <v>Edit Submission</v>
      </c>
    </row>
    <row r="7">
      <c r="A7" s="2">
        <v>44619.59364583333</v>
      </c>
      <c r="B7" s="3" t="s">
        <v>16</v>
      </c>
      <c r="C7" s="3">
        <v>2010.0</v>
      </c>
      <c r="D7" s="3">
        <v>244300.0</v>
      </c>
      <c r="E7" s="3">
        <v>14000.0</v>
      </c>
      <c r="F7" s="3">
        <v>15000.0</v>
      </c>
      <c r="G7" s="3">
        <v>2000.0</v>
      </c>
      <c r="H7" s="3">
        <v>3000.0</v>
      </c>
      <c r="I7" s="3">
        <v>34000.0</v>
      </c>
      <c r="J7" s="3">
        <v>56500.0</v>
      </c>
      <c r="K7" s="3">
        <v>137000.0</v>
      </c>
      <c r="L7" s="3">
        <v>6000.0</v>
      </c>
      <c r="M7" s="3">
        <v>18000.0</v>
      </c>
      <c r="N7" s="3">
        <v>217500.0</v>
      </c>
      <c r="O7" s="4" t="str">
        <f>TEXT("5218092913425388978","0")</f>
        <v>5218092913425388978</v>
      </c>
      <c r="P7" s="5" t="str">
        <f>HYPERLINK("https://www.jotform.com/edit/5218092913425388978","Edit Submission")</f>
        <v>Edit Submission</v>
      </c>
    </row>
    <row r="8">
      <c r="A8" s="2">
        <v>44619.593773148146</v>
      </c>
      <c r="B8" s="3" t="s">
        <v>16</v>
      </c>
      <c r="C8" s="3">
        <v>2011.0</v>
      </c>
      <c r="D8" s="3">
        <v>244300.0</v>
      </c>
      <c r="E8" s="3">
        <v>13000.0</v>
      </c>
      <c r="F8" s="3">
        <v>14700.0</v>
      </c>
      <c r="G8" s="3">
        <v>3800.0</v>
      </c>
      <c r="H8" s="3">
        <v>4400.0</v>
      </c>
      <c r="I8" s="3">
        <v>35900.0</v>
      </c>
      <c r="J8" s="3">
        <v>55000.0</v>
      </c>
      <c r="K8" s="3">
        <v>140000.0</v>
      </c>
      <c r="L8" s="3">
        <v>6200.0</v>
      </c>
      <c r="M8" s="3">
        <v>12000.0</v>
      </c>
      <c r="N8" s="3">
        <v>213200.0</v>
      </c>
      <c r="O8" s="4" t="str">
        <f>TEXT("5218093023427072110","0")</f>
        <v>5218093023427072110</v>
      </c>
      <c r="P8" s="5" t="str">
        <f>HYPERLINK("https://www.jotform.com/edit/5218093023427072110","Edit")</f>
        <v>Edit</v>
      </c>
    </row>
    <row r="9">
      <c r="A9" s="2">
        <v>44619.59388888889</v>
      </c>
      <c r="B9" s="3" t="s">
        <v>16</v>
      </c>
      <c r="C9" s="3">
        <v>2012.0</v>
      </c>
      <c r="D9" s="3">
        <v>244300.0</v>
      </c>
      <c r="E9" s="3">
        <v>12000.0</v>
      </c>
      <c r="F9" s="3">
        <v>14000.0</v>
      </c>
      <c r="G9" s="3">
        <v>2000.0</v>
      </c>
      <c r="H9" s="3">
        <v>4000.0</v>
      </c>
      <c r="I9" s="3">
        <v>32000.0</v>
      </c>
      <c r="J9" s="3">
        <v>55000.0</v>
      </c>
      <c r="K9" s="3">
        <v>140000.0</v>
      </c>
      <c r="L9" s="3">
        <v>6200.0</v>
      </c>
      <c r="M9" s="3">
        <v>12000.0</v>
      </c>
      <c r="N9" s="3">
        <v>213200.0</v>
      </c>
      <c r="O9" s="4" t="str">
        <f>TEXT("5218093123422480927","0")</f>
        <v>5218093123422480927</v>
      </c>
      <c r="P9" s="5" t="str">
        <f>HYPERLINK("https://www.jotform.com/edit/5218093123422480927","Edit")</f>
        <v>Edit</v>
      </c>
    </row>
    <row r="10">
      <c r="A10" s="2">
        <v>44619.593993055554</v>
      </c>
      <c r="B10" s="3" t="s">
        <v>16</v>
      </c>
      <c r="C10" s="3">
        <v>2013.0</v>
      </c>
      <c r="D10" s="3">
        <v>244300.0</v>
      </c>
      <c r="E10" s="3">
        <v>10000.0</v>
      </c>
      <c r="F10" s="3">
        <v>14000.0</v>
      </c>
      <c r="G10" s="3">
        <v>3000.0</v>
      </c>
      <c r="H10" s="3">
        <v>4200.0</v>
      </c>
      <c r="I10" s="3">
        <v>31200.0</v>
      </c>
      <c r="J10" s="3">
        <v>54000.0</v>
      </c>
      <c r="K10" s="3">
        <v>130000.0</v>
      </c>
      <c r="L10" s="3">
        <v>6200.0</v>
      </c>
      <c r="M10" s="3">
        <v>12000.0</v>
      </c>
      <c r="N10" s="3">
        <v>202200.0</v>
      </c>
      <c r="O10" s="4" t="str">
        <f>TEXT("5218093213422212356","0")</f>
        <v>5218093213422212356</v>
      </c>
      <c r="P10" s="5" t="str">
        <f>HYPERLINK("https://www.jotform.com/edit/5218093213422212356","Edit Submission")</f>
        <v>Edit Submission</v>
      </c>
    </row>
    <row r="11">
      <c r="A11" s="2">
        <v>44619.59409722222</v>
      </c>
      <c r="B11" s="3" t="s">
        <v>16</v>
      </c>
      <c r="C11" s="3">
        <v>2014.0</v>
      </c>
      <c r="D11" s="3">
        <v>244300.0</v>
      </c>
      <c r="E11" s="3">
        <v>11000.0</v>
      </c>
      <c r="F11" s="3">
        <v>14500.0</v>
      </c>
      <c r="G11" s="3">
        <v>3200.0</v>
      </c>
      <c r="H11" s="3">
        <v>4400.0</v>
      </c>
      <c r="I11" s="3">
        <v>33100.0</v>
      </c>
      <c r="J11" s="3">
        <v>55000.0</v>
      </c>
      <c r="K11" s="3">
        <v>140000.0</v>
      </c>
      <c r="L11" s="3">
        <v>6200.0</v>
      </c>
      <c r="M11" s="3">
        <v>12000.0</v>
      </c>
      <c r="N11" s="3">
        <v>213200.0</v>
      </c>
      <c r="O11" s="4" t="str">
        <f>TEXT("5218093303423580541","0")</f>
        <v>5218093303423580541</v>
      </c>
      <c r="P11" s="5" t="str">
        <f>HYPERLINK("https://www.jotform.com/edit/5218093303423580541","Edit")</f>
        <v>Edit</v>
      </c>
    </row>
    <row r="12">
      <c r="A12" s="2">
        <v>44619.594201388885</v>
      </c>
      <c r="B12" s="3" t="s">
        <v>16</v>
      </c>
      <c r="C12" s="3">
        <v>2015.0</v>
      </c>
      <c r="D12" s="3">
        <v>244300.0</v>
      </c>
      <c r="E12" s="3">
        <v>12000.0</v>
      </c>
      <c r="F12" s="3">
        <v>15000.0</v>
      </c>
      <c r="G12" s="3">
        <v>3400.0</v>
      </c>
      <c r="H12" s="3">
        <v>6400.0</v>
      </c>
      <c r="I12" s="3">
        <v>36800.0</v>
      </c>
      <c r="J12" s="3">
        <v>55000.0</v>
      </c>
      <c r="K12" s="3">
        <v>140000.0</v>
      </c>
      <c r="L12" s="3">
        <v>6200.0</v>
      </c>
      <c r="M12" s="3">
        <v>12000.0</v>
      </c>
      <c r="N12" s="3">
        <v>213200.0</v>
      </c>
      <c r="O12" s="4" t="str">
        <f>TEXT("5218093393421463015","0")</f>
        <v>5218093393421463015</v>
      </c>
      <c r="P12" s="5" t="str">
        <f>HYPERLINK("https://www.jotform.com/edit/5218093393421463015","Edit")</f>
        <v>Edit</v>
      </c>
    </row>
    <row r="13">
      <c r="A13" s="2">
        <v>44619.59431712963</v>
      </c>
      <c r="B13" s="3" t="s">
        <v>16</v>
      </c>
      <c r="C13" s="3">
        <v>2016.0</v>
      </c>
      <c r="D13" s="3">
        <v>244300.0</v>
      </c>
      <c r="E13" s="3">
        <v>13000.0</v>
      </c>
      <c r="F13" s="3">
        <v>15000.0</v>
      </c>
      <c r="G13" s="3">
        <v>4000.0</v>
      </c>
      <c r="H13" s="3">
        <v>4400.0</v>
      </c>
      <c r="I13" s="3">
        <v>36400.0</v>
      </c>
      <c r="J13" s="3">
        <v>55000.0</v>
      </c>
      <c r="K13" s="3">
        <v>140000.0</v>
      </c>
      <c r="L13" s="3">
        <v>6200.0</v>
      </c>
      <c r="M13" s="3">
        <v>12000.0</v>
      </c>
      <c r="N13" s="3">
        <v>213200.0</v>
      </c>
      <c r="O13" s="4" t="str">
        <f>TEXT("5218093493427782176","0")</f>
        <v>5218093493427782176</v>
      </c>
      <c r="P13" s="5" t="str">
        <f>HYPERLINK("https://www.jotform.com/edit/5218093493427782176","Edit")</f>
        <v>Edit</v>
      </c>
    </row>
    <row r="14">
      <c r="A14" s="2">
        <v>44619.594456018516</v>
      </c>
      <c r="B14" s="3" t="s">
        <v>16</v>
      </c>
      <c r="C14" s="3">
        <v>2017.0</v>
      </c>
      <c r="D14" s="3">
        <v>244300.0</v>
      </c>
      <c r="E14" s="3">
        <v>13000.0</v>
      </c>
      <c r="F14" s="3">
        <v>15000.0</v>
      </c>
      <c r="G14" s="3">
        <v>3500.0</v>
      </c>
      <c r="H14" s="3">
        <v>4400.0</v>
      </c>
      <c r="I14" s="3">
        <v>35900.0</v>
      </c>
      <c r="J14" s="3">
        <v>55000.0</v>
      </c>
      <c r="K14" s="3">
        <v>140000.0</v>
      </c>
      <c r="L14" s="3">
        <v>6200.0</v>
      </c>
      <c r="M14" s="3">
        <v>12000.0</v>
      </c>
      <c r="N14" s="3">
        <v>213200.0</v>
      </c>
      <c r="O14" s="4" t="str">
        <f>TEXT("5218093613428876105","0")</f>
        <v>5218093613428876105</v>
      </c>
      <c r="P14" s="5" t="str">
        <f>HYPERLINK("https://www.jotform.com/edit/5218093613428876105","Edit")</f>
        <v>Edit</v>
      </c>
    </row>
    <row r="15">
      <c r="A15" s="2">
        <v>44619.594560185185</v>
      </c>
      <c r="B15" s="3" t="s">
        <v>16</v>
      </c>
      <c r="C15" s="3">
        <v>2018.0</v>
      </c>
      <c r="D15" s="3">
        <v>244300.0</v>
      </c>
      <c r="E15" s="3">
        <v>17000.0</v>
      </c>
      <c r="F15" s="3">
        <v>15000.0</v>
      </c>
      <c r="G15" s="3">
        <v>3600.0</v>
      </c>
      <c r="H15" s="3">
        <v>4700.0</v>
      </c>
      <c r="I15" s="3">
        <v>40300.0</v>
      </c>
      <c r="J15" s="3">
        <v>55000.0</v>
      </c>
      <c r="K15" s="3">
        <v>150000.0</v>
      </c>
      <c r="L15" s="3">
        <v>6200.0</v>
      </c>
      <c r="M15" s="3">
        <v>12000.0</v>
      </c>
      <c r="N15" s="3">
        <v>223200.0</v>
      </c>
      <c r="O15" s="4" t="str">
        <f>TEXT("5218093703426297369","0")</f>
        <v>5218093703426297369</v>
      </c>
      <c r="P15" s="5" t="str">
        <f>HYPERLINK("https://www.jotform.com/edit/5218093703426297369","Edit Submission")</f>
        <v>Edit Submission</v>
      </c>
    </row>
    <row r="16">
      <c r="A16" s="2">
        <v>44619.594675925924</v>
      </c>
      <c r="B16" s="3" t="s">
        <v>16</v>
      </c>
      <c r="C16" s="3">
        <v>2019.0</v>
      </c>
      <c r="D16" s="3">
        <v>244300.0</v>
      </c>
      <c r="E16" s="3">
        <v>10000.0</v>
      </c>
      <c r="F16" s="3">
        <v>14000.0</v>
      </c>
      <c r="G16" s="3">
        <v>3000.0</v>
      </c>
      <c r="H16" s="3">
        <v>4200.0</v>
      </c>
      <c r="I16" s="3">
        <v>31200.0</v>
      </c>
      <c r="J16" s="3">
        <v>55000.0</v>
      </c>
      <c r="K16" s="3">
        <v>140000.0</v>
      </c>
      <c r="L16" s="3">
        <v>6200.0</v>
      </c>
      <c r="M16" s="3">
        <v>12000.0</v>
      </c>
      <c r="N16" s="3">
        <v>213200.0</v>
      </c>
      <c r="O16" s="4" t="str">
        <f>TEXT("5218093803427804638","0")</f>
        <v>5218093803427804638</v>
      </c>
      <c r="P16" s="5" t="str">
        <f>HYPERLINK("https://www.jotform.com/edit/5218093803427804638","Edit")</f>
        <v>Edit</v>
      </c>
    </row>
    <row r="17">
      <c r="A17" s="2">
        <v>44619.59478009259</v>
      </c>
      <c r="B17" s="3" t="s">
        <v>16</v>
      </c>
      <c r="C17" s="3">
        <v>2020.0</v>
      </c>
      <c r="D17" s="3">
        <v>244300.0</v>
      </c>
      <c r="E17" s="3">
        <v>10000.0</v>
      </c>
      <c r="F17" s="3">
        <v>12000.0</v>
      </c>
      <c r="G17" s="3">
        <v>3000.0</v>
      </c>
      <c r="H17" s="3">
        <v>4200.0</v>
      </c>
      <c r="I17" s="3">
        <v>29200.0</v>
      </c>
      <c r="J17" s="3">
        <v>55000.0</v>
      </c>
      <c r="K17" s="3">
        <v>140000.0</v>
      </c>
      <c r="L17" s="3">
        <v>6200.0</v>
      </c>
      <c r="M17" s="3">
        <v>12000.0</v>
      </c>
      <c r="N17" s="3">
        <v>213200.0</v>
      </c>
      <c r="O17" s="4" t="str">
        <f>TEXT("5218093893428433011","0")</f>
        <v>5218093893428433011</v>
      </c>
      <c r="P17" s="5" t="str">
        <f>HYPERLINK("https://www.jotform.com/edit/5218093893428433011","Edit")</f>
        <v>Edit</v>
      </c>
    </row>
    <row r="18">
      <c r="A18" s="2">
        <v>44619.59788194444</v>
      </c>
      <c r="B18" s="3" t="s">
        <v>16</v>
      </c>
      <c r="C18" s="3">
        <v>2021.0</v>
      </c>
      <c r="D18" s="3">
        <v>244300.0</v>
      </c>
      <c r="E18" s="3">
        <v>19000.0</v>
      </c>
      <c r="F18" s="3">
        <v>6000.0</v>
      </c>
      <c r="G18" s="3">
        <v>2000.0</v>
      </c>
      <c r="H18" s="3">
        <v>2200.0</v>
      </c>
      <c r="I18" s="3">
        <v>29200.0</v>
      </c>
      <c r="J18" s="3">
        <v>60000.0</v>
      </c>
      <c r="K18" s="3">
        <v>90000.0</v>
      </c>
      <c r="L18" s="3">
        <v>6200.0</v>
      </c>
      <c r="M18" s="3">
        <v>12000.0</v>
      </c>
      <c r="N18" s="3">
        <v>168200.0</v>
      </c>
      <c r="O18" s="4" t="str">
        <f>TEXT("5218096573425188865","0")</f>
        <v>5218096573425188865</v>
      </c>
      <c r="P18" s="5" t="str">
        <f>HYPERLINK("https://www.jotform.com/edit/5218096573425188865","Edit Submission")</f>
        <v>Edit Submission</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6.25"/>
    <col customWidth="1" min="3" max="3" width="15.75"/>
    <col customWidth="1" min="5" max="5" width="15.25"/>
    <col customWidth="1" min="7" max="7" width="15.25"/>
  </cols>
  <sheetData>
    <row r="1" ht="33.0" customHeight="1">
      <c r="B1" s="46"/>
      <c r="C1" s="46"/>
      <c r="D1" s="46"/>
      <c r="E1" s="46"/>
      <c r="F1" s="47" t="s">
        <v>110</v>
      </c>
    </row>
    <row r="2">
      <c r="B2" s="46"/>
      <c r="C2" s="46"/>
      <c r="D2" s="46"/>
      <c r="E2" s="46"/>
      <c r="F2" s="46"/>
      <c r="G2" s="46"/>
    </row>
    <row r="3">
      <c r="B3" s="48" t="s">
        <v>111</v>
      </c>
      <c r="C3" s="46"/>
      <c r="D3" s="46"/>
      <c r="E3" s="46"/>
      <c r="F3" s="46"/>
      <c r="G3" s="46"/>
    </row>
    <row r="4">
      <c r="B4" s="46"/>
      <c r="C4" s="46"/>
      <c r="D4" s="46"/>
      <c r="E4" s="46"/>
      <c r="F4" s="46"/>
      <c r="G4" s="46"/>
    </row>
    <row r="5">
      <c r="B5" s="49" t="s">
        <v>112</v>
      </c>
      <c r="C5" s="46"/>
      <c r="D5" s="46"/>
      <c r="E5" s="46"/>
      <c r="F5" s="46"/>
      <c r="G5" s="46"/>
    </row>
    <row r="6">
      <c r="B6" s="50" t="s">
        <v>113</v>
      </c>
    </row>
    <row r="9">
      <c r="B9" s="51" t="s">
        <v>114</v>
      </c>
    </row>
    <row r="10">
      <c r="B10" s="3" t="s">
        <v>115</v>
      </c>
      <c r="C10" s="52">
        <f>today()</f>
        <v>46275</v>
      </c>
    </row>
    <row r="11">
      <c r="B11" s="3" t="s">
        <v>116</v>
      </c>
      <c r="C11" s="4" t="str">
        <f>htmlAction!B8</f>
        <v>June Demo</v>
      </c>
      <c r="E11" s="3"/>
    </row>
    <row r="14">
      <c r="B14" s="53" t="s">
        <v>117</v>
      </c>
      <c r="E14" s="54" t="s">
        <v>118</v>
      </c>
      <c r="G14" s="55" t="s">
        <v>97</v>
      </c>
    </row>
    <row r="15">
      <c r="B15" s="3" t="s">
        <v>119</v>
      </c>
      <c r="C15" s="3">
        <v>2005.0</v>
      </c>
      <c r="E15" s="3" t="s">
        <v>120</v>
      </c>
      <c r="G15" s="56">
        <f t="array" ref="G15:G18">transpose(Settingsform!E3:H3)</f>
        <v>20000</v>
      </c>
    </row>
    <row r="16">
      <c r="B16" s="3" t="s">
        <v>121</v>
      </c>
      <c r="C16" s="4">
        <f>Indicators!B4</f>
        <v>0.3</v>
      </c>
      <c r="E16" s="3" t="s">
        <v>122</v>
      </c>
      <c r="G16" s="56">
        <v>26000.0</v>
      </c>
    </row>
    <row r="17">
      <c r="B17" s="3" t="s">
        <v>123</v>
      </c>
      <c r="C17" s="4">
        <f>Indicators!B5</f>
        <v>0.95</v>
      </c>
      <c r="E17" s="3" t="s">
        <v>106</v>
      </c>
      <c r="G17" s="56">
        <v>5000.0</v>
      </c>
    </row>
    <row r="18">
      <c r="B18" s="3" t="s">
        <v>124</v>
      </c>
      <c r="C18" s="4">
        <f>Settingsform!K3</f>
        <v>0.07</v>
      </c>
      <c r="E18" s="3" t="s">
        <v>125</v>
      </c>
      <c r="G18" s="56">
        <v>13000.0</v>
      </c>
    </row>
    <row r="19">
      <c r="B19" s="3" t="s">
        <v>126</v>
      </c>
      <c r="C19" s="4">
        <f>Settingsform!L3</f>
        <v>0.1</v>
      </c>
    </row>
    <row r="40" ht="177.75" customHeight="1"/>
    <row r="41">
      <c r="B41" s="53" t="s">
        <v>127</v>
      </c>
    </row>
    <row r="42">
      <c r="B42" s="57" t="str">
        <f t="array" ref="B42:B54">Sectors!C25:C37</f>
        <v>Strategy</v>
      </c>
      <c r="C42" s="54" t="s">
        <v>77</v>
      </c>
      <c r="D42" s="54" t="s">
        <v>128</v>
      </c>
      <c r="E42" s="58" t="s">
        <v>129</v>
      </c>
      <c r="F42" s="54" t="s">
        <v>130</v>
      </c>
    </row>
    <row r="43">
      <c r="B43" s="4" t="s">
        <v>86</v>
      </c>
      <c r="C43" s="4">
        <f t="array" ref="C43:C48">Sectors!D26:D31</f>
        <v>0.5</v>
      </c>
      <c r="D43" s="4">
        <f t="array" ref="D43:D48">Sectors!E26:E31</f>
        <v>0.47</v>
      </c>
      <c r="E43" s="59">
        <f t="array" ref="E43:E54">Sectors!F26:F37</f>
        <v>0.01934230769</v>
      </c>
      <c r="F43" s="42">
        <f t="array" ref="F43:F52">Sectors!G26:G35</f>
        <v>8250.607546</v>
      </c>
    </row>
    <row r="44">
      <c r="B44" s="4" t="s">
        <v>87</v>
      </c>
      <c r="C44" s="4">
        <v>0.4</v>
      </c>
      <c r="D44" s="4">
        <v>0.8</v>
      </c>
      <c r="E44" s="59">
        <v>0.034240000000000013</v>
      </c>
      <c r="F44" s="42">
        <v>14605.330805122823</v>
      </c>
    </row>
    <row r="45">
      <c r="B45" s="4" t="s">
        <v>88</v>
      </c>
      <c r="C45" s="4">
        <v>0.1</v>
      </c>
      <c r="D45" s="4">
        <v>0.6</v>
      </c>
      <c r="E45" s="59">
        <v>0.004365599999999999</v>
      </c>
      <c r="F45" s="42">
        <v>1862.179677653159</v>
      </c>
    </row>
    <row r="46">
      <c r="B46" s="4" t="s">
        <v>89</v>
      </c>
      <c r="C46" s="4">
        <v>0.1</v>
      </c>
      <c r="D46" s="4">
        <v>0.2</v>
      </c>
      <c r="E46" s="59">
        <v>0.001367888</v>
      </c>
      <c r="F46" s="42">
        <v>583.4829656646566</v>
      </c>
    </row>
    <row r="47">
      <c r="B47" s="4" t="s">
        <v>90</v>
      </c>
      <c r="C47" s="4">
        <v>0.92</v>
      </c>
      <c r="D47" s="4">
        <v>0.98</v>
      </c>
      <c r="E47" s="59">
        <v>0.01855215384615385</v>
      </c>
      <c r="F47" s="42">
        <v>7913.561450660298</v>
      </c>
    </row>
    <row r="48">
      <c r="B48" s="4" t="s">
        <v>91</v>
      </c>
      <c r="C48" s="4">
        <v>0.2</v>
      </c>
      <c r="D48" s="4">
        <v>0.43</v>
      </c>
      <c r="E48" s="59">
        <v>0.004601000000000001</v>
      </c>
      <c r="F48" s="42">
        <v>1962.591326938379</v>
      </c>
    </row>
    <row r="49">
      <c r="B49" s="4"/>
      <c r="E49" s="4"/>
      <c r="F49" s="4"/>
    </row>
    <row r="50">
      <c r="B50" s="4" t="s">
        <v>103</v>
      </c>
      <c r="E50" s="59">
        <v>0.08246894953846154</v>
      </c>
      <c r="F50" s="42">
        <v>35177.75377220245</v>
      </c>
    </row>
    <row r="51">
      <c r="B51" s="4"/>
      <c r="E51" s="4"/>
      <c r="F51" s="4"/>
    </row>
    <row r="52">
      <c r="B52" s="4" t="s">
        <v>131</v>
      </c>
      <c r="E52" s="18">
        <v>0.09107692307692311</v>
      </c>
      <c r="F52" s="42">
        <v>38849.54994892483</v>
      </c>
    </row>
    <row r="53">
      <c r="B53" s="4"/>
      <c r="E53" s="4"/>
    </row>
    <row r="54">
      <c r="B54" s="4" t="s">
        <v>132</v>
      </c>
      <c r="E54" s="60">
        <v>0.9054867770270267</v>
      </c>
    </row>
    <row r="56">
      <c r="B56" s="53" t="s">
        <v>133</v>
      </c>
    </row>
    <row r="57">
      <c r="B57" s="57" t="str">
        <f t="array" ref="B57:B69">Sectors!C25:C37</f>
        <v>Strategy</v>
      </c>
      <c r="C57" s="57" t="s">
        <v>77</v>
      </c>
      <c r="D57" s="57" t="s">
        <v>128</v>
      </c>
      <c r="E57" s="61" t="s">
        <v>129</v>
      </c>
      <c r="F57" s="57" t="s">
        <v>130</v>
      </c>
    </row>
    <row r="58">
      <c r="B58" s="4" t="s">
        <v>86</v>
      </c>
      <c r="C58" s="4">
        <f t="array" ref="C58:F69">Sectors!I26:L37</f>
        <v>0.66</v>
      </c>
      <c r="D58" s="4">
        <v>0.77</v>
      </c>
      <c r="E58" s="18">
        <v>0.043001538461538466</v>
      </c>
      <c r="F58" s="42">
        <v>27256.18515695117</v>
      </c>
    </row>
    <row r="59">
      <c r="B59" s="4" t="s">
        <v>87</v>
      </c>
      <c r="C59" s="4">
        <v>0.68</v>
      </c>
      <c r="D59" s="4">
        <v>0.85</v>
      </c>
      <c r="E59" s="18">
        <v>0.06358000000000001</v>
      </c>
      <c r="F59" s="42">
        <v>40299.680296995495</v>
      </c>
    </row>
    <row r="60">
      <c r="B60" s="4" t="s">
        <v>88</v>
      </c>
      <c r="C60" s="4">
        <v>0.2</v>
      </c>
      <c r="D60" s="4">
        <v>0.7</v>
      </c>
      <c r="E60" s="18">
        <v>0.0064988</v>
      </c>
      <c r="F60" s="42">
        <v>4119.212996447221</v>
      </c>
    </row>
    <row r="61">
      <c r="B61" s="4" t="s">
        <v>89</v>
      </c>
      <c r="C61" s="4">
        <v>0.2</v>
      </c>
      <c r="D61" s="4">
        <v>0.2</v>
      </c>
      <c r="E61" s="18">
        <v>0.0015968480000000005</v>
      </c>
      <c r="F61" s="42">
        <v>1012.1494791270317</v>
      </c>
    </row>
    <row r="62">
      <c r="B62" s="4" t="s">
        <v>90</v>
      </c>
      <c r="C62" s="4">
        <v>0.93</v>
      </c>
      <c r="D62" s="4">
        <v>0.92</v>
      </c>
      <c r="E62" s="18">
        <v>0.01809923076923077</v>
      </c>
      <c r="F62" s="42">
        <v>11472.054319307073</v>
      </c>
    </row>
    <row r="63">
      <c r="B63" s="4" t="s">
        <v>91</v>
      </c>
      <c r="C63" s="4">
        <v>0.42</v>
      </c>
      <c r="D63" s="4">
        <v>0.46</v>
      </c>
      <c r="E63" s="18">
        <v>0.010626000000000002</v>
      </c>
      <c r="F63" s="42">
        <v>6735.206084238347</v>
      </c>
    </row>
    <row r="64">
      <c r="B64" s="4"/>
      <c r="C64" s="4"/>
      <c r="D64" s="4"/>
      <c r="E64" s="4"/>
      <c r="F64" s="4"/>
    </row>
    <row r="65">
      <c r="B65" s="4" t="s">
        <v>103</v>
      </c>
      <c r="C65" s="4"/>
      <c r="D65" s="4"/>
      <c r="E65" s="18">
        <v>0.14340241723076924</v>
      </c>
      <c r="F65" s="42">
        <v>90894.48833306636</v>
      </c>
    </row>
    <row r="66">
      <c r="B66" s="4"/>
      <c r="C66" s="4"/>
      <c r="D66" s="4"/>
      <c r="E66" s="4"/>
      <c r="F66" s="4"/>
    </row>
    <row r="67">
      <c r="B67" s="4" t="s">
        <v>131</v>
      </c>
      <c r="C67" s="4"/>
      <c r="D67" s="4"/>
      <c r="E67" s="18">
        <v>0.2584615384615385</v>
      </c>
      <c r="F67" s="4"/>
    </row>
    <row r="68">
      <c r="B68" s="4"/>
      <c r="C68" s="4"/>
      <c r="D68" s="4"/>
      <c r="E68" s="4"/>
      <c r="F68" s="4"/>
    </row>
    <row r="69">
      <c r="B69" s="4" t="s">
        <v>132</v>
      </c>
      <c r="C69" s="4"/>
      <c r="D69" s="4"/>
      <c r="E69" s="60">
        <v>0.5548307809523809</v>
      </c>
      <c r="F69" s="4"/>
    </row>
    <row r="71" ht="33.75" customHeight="1"/>
    <row r="91" ht="25.5" customHeight="1"/>
    <row r="112">
      <c r="B112" s="53" t="s">
        <v>134</v>
      </c>
    </row>
    <row r="114">
      <c r="B114" s="62" t="s">
        <v>135</v>
      </c>
    </row>
    <row r="115">
      <c r="B115" s="62" t="s">
        <v>86</v>
      </c>
    </row>
    <row r="116">
      <c r="B116" s="63" t="s">
        <v>136</v>
      </c>
    </row>
    <row r="117">
      <c r="B117" s="62"/>
    </row>
    <row r="118">
      <c r="B118" s="62" t="s">
        <v>137</v>
      </c>
    </row>
    <row r="119">
      <c r="B119" s="62" t="s">
        <v>138</v>
      </c>
    </row>
    <row r="120">
      <c r="B120" s="63" t="s">
        <v>136</v>
      </c>
    </row>
    <row r="121">
      <c r="B121" s="3"/>
    </row>
    <row r="122">
      <c r="B122" s="62" t="s">
        <v>88</v>
      </c>
    </row>
    <row r="123">
      <c r="B123" s="64" t="s">
        <v>136</v>
      </c>
    </row>
    <row r="124">
      <c r="B124" s="3" t="s">
        <v>139</v>
      </c>
    </row>
    <row r="125">
      <c r="B125" s="3"/>
    </row>
    <row r="126">
      <c r="B126" s="62" t="s">
        <v>140</v>
      </c>
    </row>
    <row r="127">
      <c r="B127" s="62" t="s">
        <v>90</v>
      </c>
    </row>
    <row r="128">
      <c r="B128" s="64" t="s">
        <v>136</v>
      </c>
    </row>
    <row r="129">
      <c r="B129" s="62"/>
    </row>
    <row r="130">
      <c r="B130" s="62" t="s">
        <v>141</v>
      </c>
    </row>
    <row r="131">
      <c r="B131" s="62" t="s">
        <v>91</v>
      </c>
    </row>
    <row r="132">
      <c r="B132" s="64" t="s">
        <v>136</v>
      </c>
    </row>
  </sheetData>
  <mergeCells count="7">
    <mergeCell ref="F1:G1"/>
    <mergeCell ref="B6:G6"/>
    <mergeCell ref="B116:G116"/>
    <mergeCell ref="B120:G120"/>
    <mergeCell ref="B123:G123"/>
    <mergeCell ref="B128:G128"/>
    <mergeCell ref="B132:G132"/>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6.75"/>
    <col customWidth="1" min="5" max="5" width="9.25"/>
    <col customWidth="1" min="6" max="6" width="9.0"/>
    <col customWidth="1" min="7" max="7" width="17.5"/>
  </cols>
  <sheetData>
    <row r="1" ht="36.75" customHeight="1">
      <c r="B1" s="46"/>
      <c r="G1" s="95" t="s">
        <v>110</v>
      </c>
    </row>
    <row r="3">
      <c r="B3" s="48" t="s">
        <v>153</v>
      </c>
      <c r="H3" s="48">
        <v>2021.0</v>
      </c>
    </row>
    <row r="4" ht="33.0" customHeight="1"/>
    <row r="6">
      <c r="B6" s="54" t="s">
        <v>154</v>
      </c>
    </row>
    <row r="7">
      <c r="B7" s="3"/>
      <c r="E7" s="3"/>
      <c r="F7" s="3"/>
    </row>
    <row r="8">
      <c r="B8" s="3" t="s">
        <v>155</v>
      </c>
      <c r="C8" s="4">
        <f>htmlOutput!B6</f>
        <v>29200</v>
      </c>
      <c r="E8" s="3" t="s">
        <v>156</v>
      </c>
      <c r="F8" s="3"/>
    </row>
    <row r="9">
      <c r="B9" s="3" t="s">
        <v>157</v>
      </c>
      <c r="C9" s="42">
        <f>htmlOutput!B9</f>
        <v>31200</v>
      </c>
      <c r="E9" s="3" t="s">
        <v>156</v>
      </c>
      <c r="F9" s="3"/>
    </row>
    <row r="10">
      <c r="B10" s="3" t="s">
        <v>158</v>
      </c>
      <c r="C10" s="42">
        <f>htmlOutput!B12</f>
        <v>21840</v>
      </c>
      <c r="E10" s="3" t="s">
        <v>156</v>
      </c>
      <c r="F10" s="3"/>
    </row>
    <row r="11">
      <c r="B11" s="3" t="s">
        <v>132</v>
      </c>
      <c r="C11" s="60">
        <f>htmlOutput!B15</f>
        <v>0.336996337</v>
      </c>
      <c r="E11" s="3" t="s">
        <v>159</v>
      </c>
      <c r="F11" s="3"/>
    </row>
    <row r="13">
      <c r="B13" s="54" t="s">
        <v>160</v>
      </c>
    </row>
    <row r="15">
      <c r="B15" s="3" t="s">
        <v>161</v>
      </c>
      <c r="E15" s="3" t="s">
        <v>162</v>
      </c>
      <c r="F15" s="3"/>
    </row>
    <row r="16">
      <c r="B16" s="3" t="s">
        <v>163</v>
      </c>
      <c r="E16" s="3" t="s">
        <v>162</v>
      </c>
      <c r="F16" s="3"/>
    </row>
    <row r="17">
      <c r="B17" s="3" t="s">
        <v>164</v>
      </c>
      <c r="E17" s="3" t="s">
        <v>162</v>
      </c>
      <c r="F17" s="3"/>
    </row>
    <row r="18">
      <c r="B18" s="3" t="s">
        <v>132</v>
      </c>
      <c r="E18" s="3" t="s">
        <v>159</v>
      </c>
      <c r="F18" s="3"/>
    </row>
    <row r="41">
      <c r="B41" s="48" t="s">
        <v>135</v>
      </c>
    </row>
    <row r="42" ht="180.0" customHeight="1"/>
    <row r="43">
      <c r="B43" s="54" t="s">
        <v>165</v>
      </c>
      <c r="C43" s="63"/>
      <c r="D43" s="63"/>
      <c r="E43" s="63"/>
      <c r="F43" s="63"/>
      <c r="G43" s="63"/>
      <c r="H43" s="63"/>
    </row>
    <row r="44">
      <c r="B44" s="63" t="s">
        <v>136</v>
      </c>
    </row>
    <row r="48">
      <c r="B48" s="48" t="s">
        <v>137</v>
      </c>
    </row>
    <row r="49" ht="184.5" customHeight="1"/>
    <row r="50">
      <c r="B50" s="54" t="s">
        <v>165</v>
      </c>
    </row>
    <row r="51">
      <c r="B51" s="63" t="s">
        <v>136</v>
      </c>
    </row>
    <row r="55">
      <c r="B55" s="48" t="s">
        <v>140</v>
      </c>
    </row>
    <row r="56" ht="178.5" customHeight="1"/>
    <row r="57">
      <c r="B57" s="54" t="s">
        <v>165</v>
      </c>
    </row>
    <row r="58">
      <c r="B58" s="63" t="s">
        <v>136</v>
      </c>
    </row>
    <row r="61">
      <c r="B61" s="48" t="s">
        <v>141</v>
      </c>
    </row>
    <row r="73">
      <c r="B73" s="54" t="s">
        <v>165</v>
      </c>
    </row>
    <row r="74">
      <c r="B74" s="63" t="s">
        <v>136</v>
      </c>
    </row>
  </sheetData>
  <mergeCells count="13">
    <mergeCell ref="C17:D17"/>
    <mergeCell ref="C18:D18"/>
    <mergeCell ref="B44:H44"/>
    <mergeCell ref="B51:H51"/>
    <mergeCell ref="B58:H58"/>
    <mergeCell ref="B74:H74"/>
    <mergeCell ref="G1:H1"/>
    <mergeCell ref="C8:D8"/>
    <mergeCell ref="C9:D9"/>
    <mergeCell ref="C10:D10"/>
    <mergeCell ref="C11:D11"/>
    <mergeCell ref="C15:D15"/>
    <mergeCell ref="C16:D16"/>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1.88"/>
    <col customWidth="1" min="2" max="2" width="10.63"/>
    <col customWidth="1" min="3" max="4" width="16.38"/>
    <col customWidth="1" min="6" max="6" width="18.13"/>
    <col customWidth="1" min="8" max="8" width="2.0"/>
    <col customWidth="1" min="9" max="9" width="15.5"/>
    <col customWidth="1" min="11" max="11" width="18.0"/>
  </cols>
  <sheetData>
    <row r="1">
      <c r="A1" s="3" t="s">
        <v>166</v>
      </c>
      <c r="B1" s="3" t="s">
        <v>167</v>
      </c>
      <c r="C1" s="3" t="s">
        <v>168</v>
      </c>
    </row>
    <row r="2">
      <c r="A2" s="4" t="str">
        <f t="array" ref="A2:A5">transpose(Emissions!C17:F17)</f>
        <v>Building</v>
      </c>
      <c r="B2" s="4">
        <f>IFERROR(__xludf.DUMMYFUNCTION("(INDEX( FILTER(Emissions!C1:C1001 , NOT( ISBLANK(Emissions!C1:C1001 ) ) ) , ROWS( FILTER(Emissions!C1:C1001 , NOT( ISBLANK(Emissions!C1:C1001 ) ) ) ) ))"),19000.0)</f>
        <v>19000</v>
      </c>
      <c r="C2" s="18">
        <f t="array" ref="C2:C5">transpose(Indicators!N11:Q11)</f>
        <v>0.06296538462</v>
      </c>
    </row>
    <row r="3">
      <c r="A3" s="4" t="s">
        <v>122</v>
      </c>
      <c r="B3" s="96">
        <f>IFERROR(__xludf.DUMMYFUNCTION("(INDEX( FILTER(Emissions!D1:D1001 , NOT( ISBLANK(Emissions!D1:D1001 ) ) ) , ROWS( FILTER(Emissions!D1:D1001 , NOT( ISBLANK(Emissions!D1:D1001 ) ) ) ) ))"),6000.0)</f>
        <v>6000</v>
      </c>
      <c r="C3" s="18">
        <v>0.067026512</v>
      </c>
    </row>
    <row r="4">
      <c r="A4" s="4" t="s">
        <v>106</v>
      </c>
      <c r="B4" s="96">
        <f>IFERROR(__xludf.DUMMYFUNCTION("(INDEX( FILTER(Emissions!E1:E1001 , NOT( ISBLANK(Emissions!E1:E1001 ) ) ) , ROWS( FILTER(Emissions!E1:E1001 , NOT( ISBLANK(Emissions!E1:E1001 ) ) ) ) ))"),2000.0)</f>
        <v>2000</v>
      </c>
      <c r="C4" s="18">
        <v>0.0020247692307692293</v>
      </c>
    </row>
    <row r="5">
      <c r="A5" s="4" t="s">
        <v>125</v>
      </c>
      <c r="B5" s="96">
        <f>IFERROR(__xludf.DUMMYFUNCTION("(INDEX( FILTER(Emissions!F1:F1001 , NOT( ISBLANK(Emissions!F1:F1001 ) ) ) , ROWS( FILTER(Emissions!F1:F1001 , NOT( ISBLANK(Emissions!F1:F1001 ) ) ) ) ))"),2200.0)</f>
        <v>2200</v>
      </c>
      <c r="C5" s="18">
        <v>0.048899000000000005</v>
      </c>
    </row>
    <row r="12">
      <c r="B12" s="3" t="s">
        <v>79</v>
      </c>
    </row>
    <row r="13">
      <c r="B13" s="4">
        <f t="array" ref="B13:B18">ActionIndicators!D3:D8</f>
        <v>0.01934230769</v>
      </c>
    </row>
    <row r="14">
      <c r="B14" s="4">
        <v>0.034240000000000013</v>
      </c>
    </row>
    <row r="15">
      <c r="B15" s="4">
        <v>0.004365599999999999</v>
      </c>
    </row>
    <row r="16">
      <c r="B16" s="4">
        <v>0.001367888</v>
      </c>
    </row>
    <row r="17">
      <c r="B17" s="4">
        <v>0.01855215384615385</v>
      </c>
    </row>
    <row r="18">
      <c r="B18" s="4">
        <v>0.004601000000000001</v>
      </c>
    </row>
    <row r="24">
      <c r="B24" s="97"/>
      <c r="C24" s="98"/>
      <c r="D24" s="99" t="s">
        <v>127</v>
      </c>
      <c r="H24" s="98"/>
      <c r="I24" s="100" t="s">
        <v>133</v>
      </c>
    </row>
    <row r="25">
      <c r="C25" s="101" t="s">
        <v>76</v>
      </c>
      <c r="D25" s="102" t="s">
        <v>77</v>
      </c>
      <c r="E25" s="102" t="s">
        <v>128</v>
      </c>
      <c r="F25" s="103" t="s">
        <v>169</v>
      </c>
      <c r="G25" s="103" t="s">
        <v>170</v>
      </c>
      <c r="H25" s="98"/>
      <c r="I25" s="104" t="s">
        <v>77</v>
      </c>
      <c r="J25" s="104" t="s">
        <v>128</v>
      </c>
      <c r="K25" s="105" t="s">
        <v>169</v>
      </c>
      <c r="L25" s="105" t="s">
        <v>171</v>
      </c>
    </row>
    <row r="26">
      <c r="C26" s="4" t="str">
        <f t="array" ref="C26:C31">ActionIndicators!A3:A8</f>
        <v>Building Retrofits</v>
      </c>
      <c r="D26" s="56">
        <f t="array" ref="D26:D31">ActionIndicators!B3:B8</f>
        <v>0.5</v>
      </c>
      <c r="E26" s="106">
        <f t="array" ref="E26:E31">ActionIndicators!C3:C8</f>
        <v>0.47</v>
      </c>
      <c r="F26" s="107">
        <f t="array" ref="F26:F31">ActionIndicators!D3:D8</f>
        <v>0.01934230769</v>
      </c>
      <c r="G26" s="108">
        <f>F26*Indicators!B$11</f>
        <v>8250.607546</v>
      </c>
      <c r="H26" s="56"/>
      <c r="I26" s="56">
        <f t="array" ref="I26:I31">ActionIndicators!F3:F8</f>
        <v>0.66</v>
      </c>
      <c r="J26" s="56">
        <f t="array" ref="J26:J31">ActionIndicators!G3:G8</f>
        <v>0.77</v>
      </c>
      <c r="K26" s="109">
        <f t="array" ref="K26:K31">ActionIndicators!H3:H8</f>
        <v>0.04300153846</v>
      </c>
      <c r="L26" s="108">
        <f>K26*Indicators!B$12</f>
        <v>27256.18516</v>
      </c>
    </row>
    <row r="27">
      <c r="C27" s="4" t="s">
        <v>87</v>
      </c>
      <c r="D27" s="56">
        <v>0.4</v>
      </c>
      <c r="E27" s="56">
        <v>0.8</v>
      </c>
      <c r="F27" s="107">
        <v>0.034240000000000013</v>
      </c>
      <c r="G27" s="108">
        <f>F27*Indicators!B$11</f>
        <v>14605.33081</v>
      </c>
      <c r="H27" s="56"/>
      <c r="I27" s="56">
        <v>0.68</v>
      </c>
      <c r="J27" s="56">
        <v>0.85</v>
      </c>
      <c r="K27" s="109">
        <v>0.06358000000000001</v>
      </c>
      <c r="L27" s="108">
        <f>K27*Indicators!B$12</f>
        <v>40299.6803</v>
      </c>
    </row>
    <row r="28">
      <c r="C28" s="4" t="s">
        <v>88</v>
      </c>
      <c r="D28" s="56">
        <v>0.1</v>
      </c>
      <c r="E28" s="56">
        <v>0.6</v>
      </c>
      <c r="F28" s="107">
        <v>0.004365599999999999</v>
      </c>
      <c r="G28" s="108">
        <f>F28*Indicators!B$11</f>
        <v>1862.179678</v>
      </c>
      <c r="H28" s="56"/>
      <c r="I28" s="56">
        <v>0.2</v>
      </c>
      <c r="J28" s="56">
        <v>0.7</v>
      </c>
      <c r="K28" s="109">
        <v>0.0064988</v>
      </c>
      <c r="L28" s="108">
        <f>K28*Indicators!B$12</f>
        <v>4119.212996</v>
      </c>
    </row>
    <row r="29">
      <c r="C29" s="4" t="s">
        <v>89</v>
      </c>
      <c r="D29" s="56">
        <v>0.1</v>
      </c>
      <c r="E29" s="56">
        <v>0.2</v>
      </c>
      <c r="F29" s="107">
        <v>0.001367888</v>
      </c>
      <c r="G29" s="108">
        <f>F29*Indicators!B$11</f>
        <v>583.4829657</v>
      </c>
      <c r="H29" s="56"/>
      <c r="I29" s="56">
        <v>0.2</v>
      </c>
      <c r="J29" s="56">
        <v>0.2</v>
      </c>
      <c r="K29" s="109">
        <v>0.0015968480000000005</v>
      </c>
      <c r="L29" s="108">
        <f>K29*Indicators!B$12</f>
        <v>1012.149479</v>
      </c>
    </row>
    <row r="30">
      <c r="C30" s="4" t="s">
        <v>90</v>
      </c>
      <c r="D30" s="56">
        <v>0.92</v>
      </c>
      <c r="E30" s="56">
        <v>0.98</v>
      </c>
      <c r="F30" s="107">
        <v>0.01855215384615385</v>
      </c>
      <c r="G30" s="108">
        <f>F30*Indicators!B$11</f>
        <v>7913.561451</v>
      </c>
      <c r="H30" s="56"/>
      <c r="I30" s="56">
        <v>0.93</v>
      </c>
      <c r="J30" s="56">
        <v>0.92</v>
      </c>
      <c r="K30" s="109">
        <v>0.01809923076923077</v>
      </c>
      <c r="L30" s="108">
        <f>K30*Indicators!B$12</f>
        <v>11472.05432</v>
      </c>
    </row>
    <row r="31">
      <c r="C31" s="4" t="s">
        <v>91</v>
      </c>
      <c r="D31" s="56">
        <v>0.2</v>
      </c>
      <c r="E31" s="56">
        <v>0.43</v>
      </c>
      <c r="F31" s="107">
        <v>0.004601000000000001</v>
      </c>
      <c r="G31" s="108">
        <f>F31*Indicators!B$11</f>
        <v>1962.591327</v>
      </c>
      <c r="H31" s="56"/>
      <c r="I31" s="56">
        <v>0.42</v>
      </c>
      <c r="J31" s="56">
        <v>0.46</v>
      </c>
      <c r="K31" s="109">
        <v>0.010626000000000002</v>
      </c>
      <c r="L31" s="108">
        <f>K31*Indicators!B$12</f>
        <v>6735.206084</v>
      </c>
    </row>
    <row r="32">
      <c r="D32" s="56"/>
      <c r="E32" s="56"/>
      <c r="F32" s="56"/>
      <c r="G32" s="56"/>
      <c r="H32" s="56"/>
      <c r="I32" s="56"/>
      <c r="J32" s="56"/>
      <c r="K32" s="56"/>
      <c r="L32" s="56"/>
    </row>
    <row r="33">
      <c r="C33" s="3" t="s">
        <v>103</v>
      </c>
      <c r="D33" s="56"/>
      <c r="E33" s="56"/>
      <c r="F33" s="107">
        <f>SUM(F26:F32)</f>
        <v>0.08246894954</v>
      </c>
      <c r="G33" s="108">
        <f>SUM(G26:G31)</f>
        <v>35177.75377</v>
      </c>
      <c r="H33" s="56"/>
      <c r="I33" s="56"/>
      <c r="J33" s="56"/>
      <c r="K33" s="109">
        <f>SUM(K26:K32)</f>
        <v>0.1434024172</v>
      </c>
      <c r="L33" s="108">
        <f>SUM(L26:L31)</f>
        <v>90894.48833</v>
      </c>
    </row>
    <row r="34">
      <c r="D34" s="56"/>
      <c r="E34" s="56"/>
      <c r="F34" s="56"/>
      <c r="G34" s="56"/>
      <c r="H34" s="56"/>
      <c r="I34" s="56"/>
      <c r="J34" s="56"/>
      <c r="K34" s="56"/>
      <c r="L34" s="56"/>
    </row>
    <row r="35">
      <c r="C35" s="3" t="s">
        <v>131</v>
      </c>
      <c r="D35" s="56"/>
      <c r="E35" s="56"/>
      <c r="F35" s="109">
        <f>Indicators!C11-Indicators!H11</f>
        <v>0.09107692308</v>
      </c>
      <c r="G35" s="108">
        <f>F35*Indicators!B11</f>
        <v>38849.54995</v>
      </c>
      <c r="H35" s="56"/>
      <c r="I35" s="56"/>
      <c r="J35" s="56"/>
      <c r="K35" s="109">
        <f>Indicators!C12-Indicators!H12</f>
        <v>0.2584615385</v>
      </c>
      <c r="L35" s="56"/>
    </row>
    <row r="36">
      <c r="D36" s="56"/>
      <c r="E36" s="56"/>
      <c r="F36" s="56"/>
      <c r="G36" s="56"/>
      <c r="H36" s="56"/>
      <c r="I36" s="56"/>
      <c r="J36" s="56"/>
      <c r="K36" s="56"/>
      <c r="L36" s="56"/>
    </row>
    <row r="37">
      <c r="C37" s="3" t="s">
        <v>132</v>
      </c>
      <c r="D37" s="56"/>
      <c r="E37" s="56"/>
      <c r="F37" s="110">
        <f>F33/F35</f>
        <v>0.905486777</v>
      </c>
      <c r="G37" s="56"/>
      <c r="H37" s="56"/>
      <c r="I37" s="56"/>
      <c r="J37" s="56"/>
      <c r="K37" s="110">
        <f>K33/K35</f>
        <v>0.554830781</v>
      </c>
      <c r="L37" s="56"/>
    </row>
  </sheetData>
  <mergeCells count="2">
    <mergeCell ref="D24:G24"/>
    <mergeCell ref="I24:L24"/>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17.88"/>
    <col customWidth="1" min="5" max="5" width="18.88"/>
    <col customWidth="1" min="6" max="6" width="14.88"/>
    <col customWidth="1" min="7" max="7" width="21.75"/>
    <col customWidth="1" min="9" max="9" width="19.13"/>
    <col customWidth="1" min="10" max="10" width="17.63"/>
    <col customWidth="1" min="12" max="12" width="20.75"/>
    <col customWidth="1" min="14" max="14" width="16.88"/>
    <col customWidth="1" min="15" max="15" width="16.75"/>
    <col customWidth="1" min="17" max="17" width="21.38"/>
    <col customWidth="1" min="18" max="18" width="19.0"/>
    <col customWidth="1" min="19" max="19" width="26.0"/>
    <col customWidth="1" min="20" max="20" width="24.25"/>
    <col customWidth="1" min="21" max="21" width="21.75"/>
    <col customWidth="1" min="22" max="22" width="26.5"/>
    <col customWidth="1" min="23" max="23" width="16.13"/>
    <col customWidth="1" min="24" max="24" width="15.88"/>
    <col customWidth="1" min="25" max="25" width="15.38"/>
    <col customWidth="1" min="26" max="27" width="17.63"/>
  </cols>
  <sheetData>
    <row r="1">
      <c r="A1" s="111" t="s">
        <v>2</v>
      </c>
      <c r="B1" s="112" t="s">
        <v>3</v>
      </c>
      <c r="C1" s="112" t="s">
        <v>61</v>
      </c>
      <c r="D1" s="112" t="s">
        <v>172</v>
      </c>
      <c r="E1" s="112" t="s">
        <v>63</v>
      </c>
      <c r="F1" s="112" t="s">
        <v>173</v>
      </c>
      <c r="G1" s="112" t="s">
        <v>65</v>
      </c>
      <c r="H1" s="113" t="s">
        <v>66</v>
      </c>
      <c r="I1" s="113" t="s">
        <v>174</v>
      </c>
      <c r="J1" s="113" t="s">
        <v>68</v>
      </c>
      <c r="K1" s="113" t="s">
        <v>175</v>
      </c>
      <c r="L1" s="113" t="s">
        <v>70</v>
      </c>
      <c r="M1" s="114" t="s">
        <v>176</v>
      </c>
      <c r="N1" s="114" t="s">
        <v>72</v>
      </c>
      <c r="O1" s="114" t="s">
        <v>177</v>
      </c>
      <c r="P1" s="114" t="s">
        <v>178</v>
      </c>
      <c r="Q1" s="114" t="s">
        <v>75</v>
      </c>
      <c r="R1" s="115" t="s">
        <v>179</v>
      </c>
      <c r="S1" s="116" t="s">
        <v>180</v>
      </c>
      <c r="T1" s="116" t="s">
        <v>181</v>
      </c>
      <c r="U1" s="116" t="s">
        <v>182</v>
      </c>
      <c r="V1" s="116" t="s">
        <v>183</v>
      </c>
      <c r="W1" s="117" t="s">
        <v>184</v>
      </c>
      <c r="X1" s="117" t="s">
        <v>185</v>
      </c>
      <c r="Y1" s="117" t="s">
        <v>186</v>
      </c>
      <c r="Z1" s="3" t="s">
        <v>187</v>
      </c>
      <c r="AA1" s="3" t="s">
        <v>188</v>
      </c>
      <c r="AB1" s="3" t="s">
        <v>189</v>
      </c>
    </row>
    <row r="2">
      <c r="A2" s="3">
        <v>2005.0</v>
      </c>
      <c r="B2" s="4">
        <f>Indicators!B10</f>
        <v>260000</v>
      </c>
      <c r="C2" s="18">
        <f>sum(D2:G2)</f>
        <v>0.2461538462</v>
      </c>
      <c r="D2" s="18">
        <f t="array" ref="D2:G2">Indicators!D10:G10</f>
        <v>0.07692307692</v>
      </c>
      <c r="E2" s="18">
        <v>0.1</v>
      </c>
      <c r="F2" s="18">
        <v>0.019230769230769232</v>
      </c>
      <c r="G2" s="18">
        <v>0.05</v>
      </c>
      <c r="H2" s="18">
        <f>sum(I2:L2)</f>
        <v>0.2461538462</v>
      </c>
      <c r="I2" s="18">
        <f t="array" ref="I2:L2">Indicators!I10:L10</f>
        <v>0.07692307692</v>
      </c>
      <c r="J2" s="18">
        <v>0.1</v>
      </c>
      <c r="K2" s="18">
        <v>0.019230769230769232</v>
      </c>
      <c r="L2" s="18">
        <v>0.05</v>
      </c>
      <c r="M2" s="18">
        <f>sum(N2:Q2)</f>
        <v>0.2461538462</v>
      </c>
      <c r="N2" s="18">
        <f t="array" ref="N2:Q2">Indicators!N10:Q10</f>
        <v>0.07692307692</v>
      </c>
      <c r="O2" s="18">
        <v>0.1</v>
      </c>
      <c r="P2" s="18">
        <v>0.019230769230769232</v>
      </c>
      <c r="Q2" s="18">
        <v>0.05</v>
      </c>
      <c r="R2" s="18">
        <f t="shared" ref="R2:V2" si="1">C2-M2</f>
        <v>0</v>
      </c>
      <c r="S2" s="18">
        <f t="shared" si="1"/>
        <v>0</v>
      </c>
      <c r="T2" s="18">
        <f t="shared" si="1"/>
        <v>0</v>
      </c>
      <c r="U2" s="18">
        <f t="shared" si="1"/>
        <v>0</v>
      </c>
      <c r="V2" s="18">
        <f t="shared" si="1"/>
        <v>0</v>
      </c>
      <c r="W2" s="4">
        <f t="shared" ref="W2:W47" si="4">B2*C2</f>
        <v>64000</v>
      </c>
      <c r="X2" s="4">
        <f t="shared" ref="X2:X47" si="5">B2*H2</f>
        <v>64000</v>
      </c>
      <c r="Y2" s="4">
        <f t="shared" ref="Y2:Y47" si="6">B2*M2</f>
        <v>64000</v>
      </c>
      <c r="Z2" s="4">
        <f t="shared" ref="Z2:Z47" si="7">W2-X2</f>
        <v>0</v>
      </c>
      <c r="AA2" s="42">
        <f t="shared" ref="AA2:AA47" si="8">W2-Y2</f>
        <v>0</v>
      </c>
      <c r="AB2" s="118">
        <v>0.0</v>
      </c>
    </row>
    <row r="3">
      <c r="A3" s="4">
        <f t="shared" ref="A3:A26" si="9">A2+1</f>
        <v>2006</v>
      </c>
      <c r="B3" s="4">
        <f>B2+(B2*Indicators!$B$1)</f>
        <v>265200</v>
      </c>
      <c r="C3" s="18">
        <f t="shared" ref="C3:C26" si="10">C$2+(($A3-$A$2)*((C$27-C$2)/($A$27-$A$2)))</f>
        <v>0.2468430769</v>
      </c>
      <c r="D3" s="18">
        <f t="shared" ref="D3:D26" si="11">D$2+((A3-$A$2)*((D$27-D$2)/(A$27-$A$2)))</f>
        <v>0.07713846154</v>
      </c>
      <c r="E3" s="18">
        <f t="shared" ref="E3:Q3" si="2">E$2+(($A3-$A$2)*((E$27-E$2)/($A$27-$A$2)))</f>
        <v>0.10028</v>
      </c>
      <c r="F3" s="18">
        <f t="shared" si="2"/>
        <v>0.01928461538</v>
      </c>
      <c r="G3" s="18">
        <f t="shared" si="2"/>
        <v>0.05014</v>
      </c>
      <c r="H3" s="18">
        <f t="shared" si="2"/>
        <v>0.2432</v>
      </c>
      <c r="I3" s="18">
        <f t="shared" si="2"/>
        <v>0.076</v>
      </c>
      <c r="J3" s="18">
        <f t="shared" si="2"/>
        <v>0.0988</v>
      </c>
      <c r="K3" s="18">
        <f t="shared" si="2"/>
        <v>0.019</v>
      </c>
      <c r="L3" s="18">
        <f t="shared" si="2"/>
        <v>0.0494</v>
      </c>
      <c r="M3" s="18">
        <f t="shared" si="2"/>
        <v>0.2435443189</v>
      </c>
      <c r="N3" s="18">
        <f t="shared" si="2"/>
        <v>0.07636476923</v>
      </c>
      <c r="O3" s="18">
        <f t="shared" si="2"/>
        <v>0.09868106048</v>
      </c>
      <c r="P3" s="18">
        <f t="shared" si="2"/>
        <v>0.01854252923</v>
      </c>
      <c r="Q3" s="18">
        <f t="shared" si="2"/>
        <v>0.04995596</v>
      </c>
      <c r="R3" s="18">
        <f t="shared" ref="R3:V3" si="3">C3-M3</f>
        <v>0.003298757982</v>
      </c>
      <c r="S3" s="18">
        <f t="shared" si="3"/>
        <v>0.0007736923077</v>
      </c>
      <c r="T3" s="18">
        <f t="shared" si="3"/>
        <v>0.00159893952</v>
      </c>
      <c r="U3" s="18">
        <f t="shared" si="3"/>
        <v>0.0007420861538</v>
      </c>
      <c r="V3" s="18">
        <f t="shared" si="3"/>
        <v>0.00018404</v>
      </c>
      <c r="W3" s="4">
        <f t="shared" si="4"/>
        <v>65462.784</v>
      </c>
      <c r="X3" s="4">
        <f t="shared" si="5"/>
        <v>64496.64</v>
      </c>
      <c r="Y3" s="4">
        <f t="shared" si="6"/>
        <v>64587.95338</v>
      </c>
      <c r="Z3" s="4">
        <f t="shared" si="7"/>
        <v>966.144</v>
      </c>
      <c r="AA3" s="42">
        <f t="shared" si="8"/>
        <v>874.8306167</v>
      </c>
      <c r="AB3" s="60">
        <f t="shared" ref="AB3:AB27" si="14">AA3/Z$27</f>
        <v>0.02251842345</v>
      </c>
    </row>
    <row r="4">
      <c r="A4" s="4">
        <f t="shared" si="9"/>
        <v>2007</v>
      </c>
      <c r="B4" s="4">
        <f>B3+(B3*Indicators!$B$1)</f>
        <v>270504</v>
      </c>
      <c r="C4" s="18">
        <f t="shared" si="10"/>
        <v>0.2475323077</v>
      </c>
      <c r="D4" s="18">
        <f t="shared" si="11"/>
        <v>0.07735384615</v>
      </c>
      <c r="E4" s="18">
        <f t="shared" ref="E4:E26" si="15">E$2+(($A4-$A$2)*((E$27-E$2)/(A$27-$A$2)))</f>
        <v>0.10056</v>
      </c>
      <c r="F4" s="18">
        <f t="shared" ref="F4:Q4" si="12">F$2+(($A4-$A$2)*((F$27-F$2)/($A$27-$A$2)))</f>
        <v>0.01933846154</v>
      </c>
      <c r="G4" s="18">
        <f t="shared" si="12"/>
        <v>0.05028</v>
      </c>
      <c r="H4" s="18">
        <f t="shared" si="12"/>
        <v>0.2402461538</v>
      </c>
      <c r="I4" s="18">
        <f t="shared" si="12"/>
        <v>0.07507692308</v>
      </c>
      <c r="J4" s="18">
        <f t="shared" si="12"/>
        <v>0.0976</v>
      </c>
      <c r="K4" s="18">
        <f t="shared" si="12"/>
        <v>0.01876923077</v>
      </c>
      <c r="L4" s="18">
        <f t="shared" si="12"/>
        <v>0.0488</v>
      </c>
      <c r="M4" s="18">
        <f t="shared" si="12"/>
        <v>0.2409347917</v>
      </c>
      <c r="N4" s="18">
        <f t="shared" si="12"/>
        <v>0.07580646154</v>
      </c>
      <c r="O4" s="18">
        <f t="shared" si="12"/>
        <v>0.09736212096</v>
      </c>
      <c r="P4" s="18">
        <f t="shared" si="12"/>
        <v>0.01785428923</v>
      </c>
      <c r="Q4" s="18">
        <f t="shared" si="12"/>
        <v>0.04991192</v>
      </c>
      <c r="R4" s="18">
        <f t="shared" ref="R4:V4" si="13">C4-M4</f>
        <v>0.006597515963</v>
      </c>
      <c r="S4" s="18">
        <f t="shared" si="13"/>
        <v>0.001547384615</v>
      </c>
      <c r="T4" s="18">
        <f t="shared" si="13"/>
        <v>0.00319787904</v>
      </c>
      <c r="U4" s="18">
        <f t="shared" si="13"/>
        <v>0.001484172308</v>
      </c>
      <c r="V4" s="18">
        <f t="shared" si="13"/>
        <v>0.00036808</v>
      </c>
      <c r="W4" s="4">
        <f t="shared" si="4"/>
        <v>66958.47936</v>
      </c>
      <c r="X4" s="4">
        <f t="shared" si="5"/>
        <v>64987.5456</v>
      </c>
      <c r="Y4" s="4">
        <f t="shared" si="6"/>
        <v>65173.8249</v>
      </c>
      <c r="Z4" s="4">
        <f t="shared" si="7"/>
        <v>1970.93376</v>
      </c>
      <c r="AA4" s="42">
        <f t="shared" si="8"/>
        <v>1784.654458</v>
      </c>
      <c r="AB4" s="60">
        <f t="shared" si="14"/>
        <v>0.04593758384</v>
      </c>
    </row>
    <row r="5">
      <c r="A5" s="4">
        <f t="shared" si="9"/>
        <v>2008</v>
      </c>
      <c r="B5" s="4">
        <f>B4+(B4*Indicators!$B$1)</f>
        <v>275914.08</v>
      </c>
      <c r="C5" s="18">
        <f t="shared" si="10"/>
        <v>0.2482215385</v>
      </c>
      <c r="D5" s="18">
        <f t="shared" si="11"/>
        <v>0.07756923077</v>
      </c>
      <c r="E5" s="18">
        <f t="shared" si="15"/>
        <v>0.10084</v>
      </c>
      <c r="F5" s="18">
        <f t="shared" ref="F5:Q5" si="16">F$2+(($A5-$A$2)*((F$27-F$2)/($A$27-$A$2)))</f>
        <v>0.01939230769</v>
      </c>
      <c r="G5" s="18">
        <f t="shared" si="16"/>
        <v>0.05042</v>
      </c>
      <c r="H5" s="18">
        <f t="shared" si="16"/>
        <v>0.2372923077</v>
      </c>
      <c r="I5" s="18">
        <f t="shared" si="16"/>
        <v>0.07415384615</v>
      </c>
      <c r="J5" s="18">
        <f t="shared" si="16"/>
        <v>0.0964</v>
      </c>
      <c r="K5" s="18">
        <f t="shared" si="16"/>
        <v>0.01853846154</v>
      </c>
      <c r="L5" s="18">
        <f t="shared" si="16"/>
        <v>0.0482</v>
      </c>
      <c r="M5" s="18">
        <f t="shared" si="16"/>
        <v>0.2383252645</v>
      </c>
      <c r="N5" s="18">
        <f t="shared" si="16"/>
        <v>0.07524815385</v>
      </c>
      <c r="O5" s="18">
        <f t="shared" si="16"/>
        <v>0.09604318144</v>
      </c>
      <c r="P5" s="18">
        <f t="shared" si="16"/>
        <v>0.01716604923</v>
      </c>
      <c r="Q5" s="18">
        <f t="shared" si="16"/>
        <v>0.04986788</v>
      </c>
      <c r="R5" s="18">
        <f t="shared" ref="R5:V5" si="17">C5-M5</f>
        <v>0.009896273945</v>
      </c>
      <c r="S5" s="18">
        <f t="shared" si="17"/>
        <v>0.002321076923</v>
      </c>
      <c r="T5" s="18">
        <f t="shared" si="17"/>
        <v>0.00479681856</v>
      </c>
      <c r="U5" s="18">
        <f t="shared" si="17"/>
        <v>0.002226258462</v>
      </c>
      <c r="V5" s="18">
        <f t="shared" si="17"/>
        <v>0.00055212</v>
      </c>
      <c r="W5" s="4">
        <f t="shared" si="4"/>
        <v>68487.81742</v>
      </c>
      <c r="X5" s="4">
        <f t="shared" si="5"/>
        <v>65472.28877</v>
      </c>
      <c r="Y5" s="4">
        <f t="shared" si="6"/>
        <v>65757.2961</v>
      </c>
      <c r="Z5" s="4">
        <f t="shared" si="7"/>
        <v>3015.528653</v>
      </c>
      <c r="AA5" s="42">
        <f t="shared" si="8"/>
        <v>2730.521321</v>
      </c>
      <c r="AB5" s="60">
        <f t="shared" si="14"/>
        <v>0.07028450328</v>
      </c>
    </row>
    <row r="6">
      <c r="A6" s="4">
        <f t="shared" si="9"/>
        <v>2009</v>
      </c>
      <c r="B6" s="4">
        <f>B5+(B5*Indicators!$B$1)</f>
        <v>281432.3616</v>
      </c>
      <c r="C6" s="18">
        <f t="shared" si="10"/>
        <v>0.2489107692</v>
      </c>
      <c r="D6" s="18">
        <f t="shared" si="11"/>
        <v>0.07778461538</v>
      </c>
      <c r="E6" s="18">
        <f t="shared" si="15"/>
        <v>0.10112</v>
      </c>
      <c r="F6" s="18">
        <f t="shared" ref="F6:Q6" si="18">F$2+(($A6-$A$2)*((F$27-F$2)/($A$27-$A$2)))</f>
        <v>0.01944615385</v>
      </c>
      <c r="G6" s="18">
        <f t="shared" si="18"/>
        <v>0.05056</v>
      </c>
      <c r="H6" s="18">
        <f t="shared" si="18"/>
        <v>0.2343384615</v>
      </c>
      <c r="I6" s="18">
        <f t="shared" si="18"/>
        <v>0.07323076923</v>
      </c>
      <c r="J6" s="18">
        <f t="shared" si="18"/>
        <v>0.0952</v>
      </c>
      <c r="K6" s="18">
        <f t="shared" si="18"/>
        <v>0.01830769231</v>
      </c>
      <c r="L6" s="18">
        <f t="shared" si="18"/>
        <v>0.0476</v>
      </c>
      <c r="M6" s="18">
        <f t="shared" si="18"/>
        <v>0.2357157373</v>
      </c>
      <c r="N6" s="18">
        <f t="shared" si="18"/>
        <v>0.07468984615</v>
      </c>
      <c r="O6" s="18">
        <f t="shared" si="18"/>
        <v>0.09472424192</v>
      </c>
      <c r="P6" s="18">
        <f t="shared" si="18"/>
        <v>0.01647780923</v>
      </c>
      <c r="Q6" s="18">
        <f t="shared" si="18"/>
        <v>0.04982384</v>
      </c>
      <c r="R6" s="18">
        <f t="shared" ref="R6:V6" si="19">C6-M6</f>
        <v>0.01319503193</v>
      </c>
      <c r="S6" s="18">
        <f t="shared" si="19"/>
        <v>0.003094769231</v>
      </c>
      <c r="T6" s="18">
        <f t="shared" si="19"/>
        <v>0.00639575808</v>
      </c>
      <c r="U6" s="18">
        <f t="shared" si="19"/>
        <v>0.002968344615</v>
      </c>
      <c r="V6" s="18">
        <f t="shared" si="19"/>
        <v>0.00073616</v>
      </c>
      <c r="W6" s="4">
        <f t="shared" si="4"/>
        <v>70051.54561</v>
      </c>
      <c r="X6" s="4">
        <f t="shared" si="5"/>
        <v>65950.42664</v>
      </c>
      <c r="Y6" s="4">
        <f t="shared" si="6"/>
        <v>66338.03662</v>
      </c>
      <c r="Z6" s="4">
        <f t="shared" si="7"/>
        <v>4101.118968</v>
      </c>
      <c r="AA6" s="42">
        <f t="shared" si="8"/>
        <v>3713.508996</v>
      </c>
      <c r="AB6" s="60">
        <f t="shared" si="14"/>
        <v>0.09558692446</v>
      </c>
    </row>
    <row r="7">
      <c r="A7" s="4">
        <f t="shared" si="9"/>
        <v>2010</v>
      </c>
      <c r="B7" s="4">
        <f>B6+(B6*Indicators!$B$1)</f>
        <v>287061.0088</v>
      </c>
      <c r="C7" s="18">
        <f t="shared" si="10"/>
        <v>0.2496</v>
      </c>
      <c r="D7" s="18">
        <f t="shared" si="11"/>
        <v>0.078</v>
      </c>
      <c r="E7" s="18">
        <f t="shared" si="15"/>
        <v>0.1014</v>
      </c>
      <c r="F7" s="18">
        <f t="shared" ref="F7:Q7" si="20">F$2+(($A7-$A$2)*((F$27-F$2)/($A$27-$A$2)))</f>
        <v>0.0195</v>
      </c>
      <c r="G7" s="18">
        <f t="shared" si="20"/>
        <v>0.0507</v>
      </c>
      <c r="H7" s="18">
        <f t="shared" si="20"/>
        <v>0.2313846154</v>
      </c>
      <c r="I7" s="18">
        <f t="shared" si="20"/>
        <v>0.07230769231</v>
      </c>
      <c r="J7" s="18">
        <f t="shared" si="20"/>
        <v>0.094</v>
      </c>
      <c r="K7" s="18">
        <f t="shared" si="20"/>
        <v>0.01807692308</v>
      </c>
      <c r="L7" s="18">
        <f t="shared" si="20"/>
        <v>0.047</v>
      </c>
      <c r="M7" s="18">
        <f t="shared" si="20"/>
        <v>0.2331062101</v>
      </c>
      <c r="N7" s="18">
        <f t="shared" si="20"/>
        <v>0.07413153846</v>
      </c>
      <c r="O7" s="18">
        <f t="shared" si="20"/>
        <v>0.0934053024</v>
      </c>
      <c r="P7" s="18">
        <f t="shared" si="20"/>
        <v>0.01578956923</v>
      </c>
      <c r="Q7" s="18">
        <f t="shared" si="20"/>
        <v>0.0497798</v>
      </c>
      <c r="R7" s="18">
        <f t="shared" ref="R7:V7" si="21">C7-M7</f>
        <v>0.01649378991</v>
      </c>
      <c r="S7" s="18">
        <f t="shared" si="21"/>
        <v>0.003868461538</v>
      </c>
      <c r="T7" s="18">
        <f t="shared" si="21"/>
        <v>0.0079946976</v>
      </c>
      <c r="U7" s="18">
        <f t="shared" si="21"/>
        <v>0.003710430769</v>
      </c>
      <c r="V7" s="18">
        <f t="shared" si="21"/>
        <v>0.0009202</v>
      </c>
      <c r="W7" s="4">
        <f t="shared" si="4"/>
        <v>71650.4278</v>
      </c>
      <c r="X7" s="4">
        <f t="shared" si="5"/>
        <v>66421.50112</v>
      </c>
      <c r="Y7" s="4">
        <f t="shared" si="6"/>
        <v>66915.70383</v>
      </c>
      <c r="Z7" s="4">
        <f t="shared" si="7"/>
        <v>5228.926684</v>
      </c>
      <c r="AA7" s="42">
        <f t="shared" si="8"/>
        <v>4734.72397</v>
      </c>
      <c r="AB7" s="60">
        <f t="shared" si="14"/>
        <v>0.1218733287</v>
      </c>
    </row>
    <row r="8">
      <c r="A8" s="4">
        <f t="shared" si="9"/>
        <v>2011</v>
      </c>
      <c r="B8" s="4">
        <f>B7+(B7*Indicators!$B$1)</f>
        <v>292802.229</v>
      </c>
      <c r="C8" s="18">
        <f t="shared" si="10"/>
        <v>0.2502892308</v>
      </c>
      <c r="D8" s="18">
        <f t="shared" si="11"/>
        <v>0.07821538462</v>
      </c>
      <c r="E8" s="18">
        <f t="shared" si="15"/>
        <v>0.10168</v>
      </c>
      <c r="F8" s="18">
        <f t="shared" ref="F8:Q8" si="22">F$2+(($A8-$A$2)*((F$27-F$2)/($A$27-$A$2)))</f>
        <v>0.01955384615</v>
      </c>
      <c r="G8" s="18">
        <f t="shared" si="22"/>
        <v>0.05084</v>
      </c>
      <c r="H8" s="18">
        <f t="shared" si="22"/>
        <v>0.2284307692</v>
      </c>
      <c r="I8" s="18">
        <f t="shared" si="22"/>
        <v>0.07138461538</v>
      </c>
      <c r="J8" s="18">
        <f t="shared" si="22"/>
        <v>0.0928</v>
      </c>
      <c r="K8" s="18">
        <f t="shared" si="22"/>
        <v>0.01784615385</v>
      </c>
      <c r="L8" s="18">
        <f t="shared" si="22"/>
        <v>0.0464</v>
      </c>
      <c r="M8" s="18">
        <f t="shared" si="22"/>
        <v>0.2304966829</v>
      </c>
      <c r="N8" s="18">
        <f t="shared" si="22"/>
        <v>0.07357323077</v>
      </c>
      <c r="O8" s="18">
        <f t="shared" si="22"/>
        <v>0.09208636288</v>
      </c>
      <c r="P8" s="18">
        <f t="shared" si="22"/>
        <v>0.01510132923</v>
      </c>
      <c r="Q8" s="18">
        <f t="shared" si="22"/>
        <v>0.04973576</v>
      </c>
      <c r="R8" s="18">
        <f t="shared" ref="R8:V8" si="23">C8-M8</f>
        <v>0.01979254789</v>
      </c>
      <c r="S8" s="18">
        <f t="shared" si="23"/>
        <v>0.004642153846</v>
      </c>
      <c r="T8" s="18">
        <f t="shared" si="23"/>
        <v>0.00959363712</v>
      </c>
      <c r="U8" s="18">
        <f t="shared" si="23"/>
        <v>0.004452516923</v>
      </c>
      <c r="V8" s="18">
        <f t="shared" si="23"/>
        <v>0.00110424</v>
      </c>
      <c r="W8" s="4">
        <f t="shared" si="4"/>
        <v>73285.24467</v>
      </c>
      <c r="X8" s="4">
        <f t="shared" si="5"/>
        <v>66885.0384</v>
      </c>
      <c r="Y8" s="4">
        <f t="shared" si="6"/>
        <v>67489.94253</v>
      </c>
      <c r="Z8" s="4">
        <f t="shared" si="7"/>
        <v>6400.206261</v>
      </c>
      <c r="AA8" s="42">
        <f t="shared" si="8"/>
        <v>5795.30214</v>
      </c>
      <c r="AB8" s="60">
        <f t="shared" si="14"/>
        <v>0.1491729543</v>
      </c>
    </row>
    <row r="9">
      <c r="A9" s="4">
        <f t="shared" si="9"/>
        <v>2012</v>
      </c>
      <c r="B9" s="4">
        <f>B8+(B8*Indicators!$B$1)</f>
        <v>298658.2736</v>
      </c>
      <c r="C9" s="18">
        <f t="shared" si="10"/>
        <v>0.2509784615</v>
      </c>
      <c r="D9" s="18">
        <f t="shared" si="11"/>
        <v>0.07843076923</v>
      </c>
      <c r="E9" s="18">
        <f t="shared" si="15"/>
        <v>0.10196</v>
      </c>
      <c r="F9" s="18">
        <f t="shared" ref="F9:Q9" si="24">F$2+(($A9-$A$2)*((F$27-F$2)/($A$27-$A$2)))</f>
        <v>0.01960769231</v>
      </c>
      <c r="G9" s="18">
        <f t="shared" si="24"/>
        <v>0.05098</v>
      </c>
      <c r="H9" s="18">
        <f t="shared" si="24"/>
        <v>0.2254769231</v>
      </c>
      <c r="I9" s="18">
        <f t="shared" si="24"/>
        <v>0.07046153846</v>
      </c>
      <c r="J9" s="18">
        <f t="shared" si="24"/>
        <v>0.0916</v>
      </c>
      <c r="K9" s="18">
        <f t="shared" si="24"/>
        <v>0.01761538462</v>
      </c>
      <c r="L9" s="18">
        <f t="shared" si="24"/>
        <v>0.0458</v>
      </c>
      <c r="M9" s="18">
        <f t="shared" si="24"/>
        <v>0.2278871557</v>
      </c>
      <c r="N9" s="18">
        <f t="shared" si="24"/>
        <v>0.07301492308</v>
      </c>
      <c r="O9" s="18">
        <f t="shared" si="24"/>
        <v>0.09076742336</v>
      </c>
      <c r="P9" s="18">
        <f t="shared" si="24"/>
        <v>0.01441308923</v>
      </c>
      <c r="Q9" s="18">
        <f t="shared" si="24"/>
        <v>0.04969172</v>
      </c>
      <c r="R9" s="18">
        <f t="shared" ref="R9:V9" si="25">C9-M9</f>
        <v>0.02309130587</v>
      </c>
      <c r="S9" s="18">
        <f t="shared" si="25"/>
        <v>0.005415846154</v>
      </c>
      <c r="T9" s="18">
        <f t="shared" si="25"/>
        <v>0.01119257664</v>
      </c>
      <c r="U9" s="18">
        <f t="shared" si="25"/>
        <v>0.005194603077</v>
      </c>
      <c r="V9" s="18">
        <f t="shared" si="25"/>
        <v>0.00128828</v>
      </c>
      <c r="W9" s="4">
        <f t="shared" si="4"/>
        <v>74956.79403</v>
      </c>
      <c r="X9" s="4">
        <f t="shared" si="5"/>
        <v>67340.54858</v>
      </c>
      <c r="Y9" s="4">
        <f t="shared" si="6"/>
        <v>68060.38448</v>
      </c>
      <c r="Z9" s="4">
        <f t="shared" si="7"/>
        <v>7616.245451</v>
      </c>
      <c r="AA9" s="42">
        <f t="shared" si="8"/>
        <v>6896.409546</v>
      </c>
      <c r="AB9" s="60">
        <f t="shared" si="14"/>
        <v>0.1775158156</v>
      </c>
    </row>
    <row r="10">
      <c r="A10" s="4">
        <f t="shared" si="9"/>
        <v>2013</v>
      </c>
      <c r="B10" s="4">
        <f>B9+(B9*Indicators!$B$1)</f>
        <v>304631.4391</v>
      </c>
      <c r="C10" s="18">
        <f t="shared" si="10"/>
        <v>0.2516676923</v>
      </c>
      <c r="D10" s="18">
        <f t="shared" si="11"/>
        <v>0.07864615385</v>
      </c>
      <c r="E10" s="18">
        <f t="shared" si="15"/>
        <v>0.10224</v>
      </c>
      <c r="F10" s="18">
        <f t="shared" ref="F10:Q10" si="26">F$2+(($A10-$A$2)*((F$27-F$2)/($A$27-$A$2)))</f>
        <v>0.01966153846</v>
      </c>
      <c r="G10" s="18">
        <f t="shared" si="26"/>
        <v>0.05112</v>
      </c>
      <c r="H10" s="18">
        <f t="shared" si="26"/>
        <v>0.2225230769</v>
      </c>
      <c r="I10" s="18">
        <f t="shared" si="26"/>
        <v>0.06953846154</v>
      </c>
      <c r="J10" s="18">
        <f t="shared" si="26"/>
        <v>0.0904</v>
      </c>
      <c r="K10" s="18">
        <f t="shared" si="26"/>
        <v>0.01738461538</v>
      </c>
      <c r="L10" s="18">
        <f t="shared" si="26"/>
        <v>0.0452</v>
      </c>
      <c r="M10" s="18">
        <f t="shared" si="26"/>
        <v>0.2252776285</v>
      </c>
      <c r="N10" s="18">
        <f t="shared" si="26"/>
        <v>0.07245661538</v>
      </c>
      <c r="O10" s="18">
        <f t="shared" si="26"/>
        <v>0.08944848384</v>
      </c>
      <c r="P10" s="18">
        <f t="shared" si="26"/>
        <v>0.01372484923</v>
      </c>
      <c r="Q10" s="18">
        <f t="shared" si="26"/>
        <v>0.04964768</v>
      </c>
      <c r="R10" s="18">
        <f t="shared" ref="R10:V10" si="27">C10-M10</f>
        <v>0.02639006385</v>
      </c>
      <c r="S10" s="18">
        <f t="shared" si="27"/>
        <v>0.006189538462</v>
      </c>
      <c r="T10" s="18">
        <f t="shared" si="27"/>
        <v>0.01279151616</v>
      </c>
      <c r="U10" s="18">
        <f t="shared" si="27"/>
        <v>0.005936689231</v>
      </c>
      <c r="V10" s="18">
        <f t="shared" si="27"/>
        <v>0.00147232</v>
      </c>
      <c r="W10" s="4">
        <f t="shared" si="4"/>
        <v>76665.89127</v>
      </c>
      <c r="X10" s="4">
        <f t="shared" si="5"/>
        <v>67787.52515</v>
      </c>
      <c r="Y10" s="4">
        <f t="shared" si="6"/>
        <v>68626.64814</v>
      </c>
      <c r="Z10" s="4">
        <f t="shared" si="7"/>
        <v>8878.366125</v>
      </c>
      <c r="AA10" s="42">
        <f t="shared" si="8"/>
        <v>8039.243128</v>
      </c>
      <c r="AB10" s="60">
        <f t="shared" si="14"/>
        <v>0.2069327222</v>
      </c>
    </row>
    <row r="11">
      <c r="A11" s="4">
        <f t="shared" si="9"/>
        <v>2014</v>
      </c>
      <c r="B11" s="4">
        <f>B10+(B10*Indicators!$B$1)</f>
        <v>310724.0678</v>
      </c>
      <c r="C11" s="18">
        <f t="shared" si="10"/>
        <v>0.2523569231</v>
      </c>
      <c r="D11" s="18">
        <f t="shared" si="11"/>
        <v>0.07886153846</v>
      </c>
      <c r="E11" s="18">
        <f t="shared" si="15"/>
        <v>0.10252</v>
      </c>
      <c r="F11" s="18">
        <f t="shared" ref="F11:Q11" si="28">F$2+(($A11-$A$2)*((F$27-F$2)/($A$27-$A$2)))</f>
        <v>0.01971538462</v>
      </c>
      <c r="G11" s="18">
        <f t="shared" si="28"/>
        <v>0.05126</v>
      </c>
      <c r="H11" s="18">
        <f t="shared" si="28"/>
        <v>0.2195692308</v>
      </c>
      <c r="I11" s="18">
        <f t="shared" si="28"/>
        <v>0.06861538462</v>
      </c>
      <c r="J11" s="18">
        <f t="shared" si="28"/>
        <v>0.0892</v>
      </c>
      <c r="K11" s="18">
        <f t="shared" si="28"/>
        <v>0.01715384615</v>
      </c>
      <c r="L11" s="18">
        <f t="shared" si="28"/>
        <v>0.0446</v>
      </c>
      <c r="M11" s="18">
        <f t="shared" si="28"/>
        <v>0.2226681012</v>
      </c>
      <c r="N11" s="18">
        <f t="shared" si="28"/>
        <v>0.07189830769</v>
      </c>
      <c r="O11" s="18">
        <f t="shared" si="28"/>
        <v>0.08812954432</v>
      </c>
      <c r="P11" s="18">
        <f t="shared" si="28"/>
        <v>0.01303660923</v>
      </c>
      <c r="Q11" s="18">
        <f t="shared" si="28"/>
        <v>0.04960364</v>
      </c>
      <c r="R11" s="18">
        <f t="shared" ref="R11:V11" si="29">C11-M11</f>
        <v>0.02968882183</v>
      </c>
      <c r="S11" s="18">
        <f t="shared" si="29"/>
        <v>0.006963230769</v>
      </c>
      <c r="T11" s="18">
        <f t="shared" si="29"/>
        <v>0.01439045568</v>
      </c>
      <c r="U11" s="18">
        <f t="shared" si="29"/>
        <v>0.006678775385</v>
      </c>
      <c r="V11" s="18">
        <f t="shared" si="29"/>
        <v>0.00165636</v>
      </c>
      <c r="W11" s="4">
        <f t="shared" si="4"/>
        <v>78413.36969</v>
      </c>
      <c r="X11" s="4">
        <f t="shared" si="5"/>
        <v>68225.44456</v>
      </c>
      <c r="Y11" s="4">
        <f t="shared" si="6"/>
        <v>69188.3382</v>
      </c>
      <c r="Z11" s="4">
        <f t="shared" si="7"/>
        <v>10187.92513</v>
      </c>
      <c r="AA11" s="42">
        <f t="shared" si="8"/>
        <v>9225.03149</v>
      </c>
      <c r="AB11" s="60">
        <f t="shared" si="14"/>
        <v>0.2374552988</v>
      </c>
    </row>
    <row r="12">
      <c r="A12" s="4">
        <f t="shared" si="9"/>
        <v>2015</v>
      </c>
      <c r="B12" s="4">
        <f>B11+(B11*Indicators!$B$1)</f>
        <v>316938.5492</v>
      </c>
      <c r="C12" s="18">
        <f t="shared" si="10"/>
        <v>0.2530461538</v>
      </c>
      <c r="D12" s="18">
        <f t="shared" si="11"/>
        <v>0.07907692308</v>
      </c>
      <c r="E12" s="18">
        <f t="shared" si="15"/>
        <v>0.1028</v>
      </c>
      <c r="F12" s="18">
        <f t="shared" ref="F12:Q12" si="30">F$2+(($A12-$A$2)*((F$27-F$2)/($A$27-$A$2)))</f>
        <v>0.01976923077</v>
      </c>
      <c r="G12" s="18">
        <f t="shared" si="30"/>
        <v>0.0514</v>
      </c>
      <c r="H12" s="18">
        <f t="shared" si="30"/>
        <v>0.2166153846</v>
      </c>
      <c r="I12" s="18">
        <f t="shared" si="30"/>
        <v>0.06769230769</v>
      </c>
      <c r="J12" s="18">
        <f t="shared" si="30"/>
        <v>0.088</v>
      </c>
      <c r="K12" s="18">
        <f t="shared" si="30"/>
        <v>0.01692307692</v>
      </c>
      <c r="L12" s="18">
        <f t="shared" si="30"/>
        <v>0.044</v>
      </c>
      <c r="M12" s="18">
        <f t="shared" si="30"/>
        <v>0.220058574</v>
      </c>
      <c r="N12" s="18">
        <f t="shared" si="30"/>
        <v>0.07134</v>
      </c>
      <c r="O12" s="18">
        <f t="shared" si="30"/>
        <v>0.0868106048</v>
      </c>
      <c r="P12" s="18">
        <f t="shared" si="30"/>
        <v>0.01234836923</v>
      </c>
      <c r="Q12" s="18">
        <f t="shared" si="30"/>
        <v>0.0495596</v>
      </c>
      <c r="R12" s="18">
        <f t="shared" ref="R12:V12" si="31">C12-M12</f>
        <v>0.03298757982</v>
      </c>
      <c r="S12" s="18">
        <f t="shared" si="31"/>
        <v>0.007736923077</v>
      </c>
      <c r="T12" s="18">
        <f t="shared" si="31"/>
        <v>0.0159893952</v>
      </c>
      <c r="U12" s="18">
        <f t="shared" si="31"/>
        <v>0.007420861538</v>
      </c>
      <c r="V12" s="18">
        <f t="shared" si="31"/>
        <v>0.0018404</v>
      </c>
      <c r="W12" s="4">
        <f t="shared" si="4"/>
        <v>80200.08088</v>
      </c>
      <c r="X12" s="4">
        <f t="shared" si="5"/>
        <v>68653.76573</v>
      </c>
      <c r="Y12" s="4">
        <f t="shared" si="6"/>
        <v>69745.04519</v>
      </c>
      <c r="Z12" s="4">
        <f t="shared" si="7"/>
        <v>11546.31515</v>
      </c>
      <c r="AA12" s="42">
        <f t="shared" si="8"/>
        <v>10455.03569</v>
      </c>
      <c r="AB12" s="60">
        <f t="shared" si="14"/>
        <v>0.2691160053</v>
      </c>
    </row>
    <row r="13">
      <c r="A13" s="4">
        <f t="shared" si="9"/>
        <v>2016</v>
      </c>
      <c r="B13" s="4">
        <f>B12+(B12*Indicators!$B$1)</f>
        <v>323277.3202</v>
      </c>
      <c r="C13" s="18">
        <f t="shared" si="10"/>
        <v>0.2537353846</v>
      </c>
      <c r="D13" s="18">
        <f t="shared" si="11"/>
        <v>0.07929230769</v>
      </c>
      <c r="E13" s="18">
        <f t="shared" si="15"/>
        <v>0.10308</v>
      </c>
      <c r="F13" s="18">
        <f t="shared" ref="F13:Q13" si="32">F$2+(($A13-$A$2)*((F$27-F$2)/($A$27-$A$2)))</f>
        <v>0.01982307692</v>
      </c>
      <c r="G13" s="18">
        <f t="shared" si="32"/>
        <v>0.05154</v>
      </c>
      <c r="H13" s="18">
        <f t="shared" si="32"/>
        <v>0.2136615385</v>
      </c>
      <c r="I13" s="18">
        <f t="shared" si="32"/>
        <v>0.06676923077</v>
      </c>
      <c r="J13" s="18">
        <f t="shared" si="32"/>
        <v>0.0868</v>
      </c>
      <c r="K13" s="18">
        <f t="shared" si="32"/>
        <v>0.01669230769</v>
      </c>
      <c r="L13" s="18">
        <f t="shared" si="32"/>
        <v>0.0434</v>
      </c>
      <c r="M13" s="18">
        <f t="shared" si="32"/>
        <v>0.2174490468</v>
      </c>
      <c r="N13" s="18">
        <f t="shared" si="32"/>
        <v>0.07078169231</v>
      </c>
      <c r="O13" s="18">
        <f t="shared" si="32"/>
        <v>0.08549166528</v>
      </c>
      <c r="P13" s="18">
        <f t="shared" si="32"/>
        <v>0.01166012923</v>
      </c>
      <c r="Q13" s="18">
        <f t="shared" si="32"/>
        <v>0.04951556</v>
      </c>
      <c r="R13" s="18">
        <f t="shared" ref="R13:V13" si="33">C13-M13</f>
        <v>0.0362863378</v>
      </c>
      <c r="S13" s="18">
        <f t="shared" si="33"/>
        <v>0.008510615385</v>
      </c>
      <c r="T13" s="18">
        <f t="shared" si="33"/>
        <v>0.01758833472</v>
      </c>
      <c r="U13" s="18">
        <f t="shared" si="33"/>
        <v>0.008162947692</v>
      </c>
      <c r="V13" s="18">
        <f t="shared" si="33"/>
        <v>0.00202444</v>
      </c>
      <c r="W13" s="4">
        <f t="shared" si="4"/>
        <v>82026.89517</v>
      </c>
      <c r="X13" s="4">
        <f t="shared" si="5"/>
        <v>69071.92958</v>
      </c>
      <c r="Y13" s="4">
        <f t="shared" si="6"/>
        <v>70296.34513</v>
      </c>
      <c r="Z13" s="4">
        <f t="shared" si="7"/>
        <v>12954.96559</v>
      </c>
      <c r="AA13" s="42">
        <f t="shared" si="8"/>
        <v>11730.55004</v>
      </c>
      <c r="AB13" s="60">
        <f t="shared" si="14"/>
        <v>0.3019481579</v>
      </c>
    </row>
    <row r="14">
      <c r="A14" s="4">
        <f t="shared" si="9"/>
        <v>2017</v>
      </c>
      <c r="B14" s="4">
        <f>B13+(B13*Indicators!$B$1)</f>
        <v>329742.8666</v>
      </c>
      <c r="C14" s="18">
        <f t="shared" si="10"/>
        <v>0.2544246154</v>
      </c>
      <c r="D14" s="18">
        <f t="shared" si="11"/>
        <v>0.07950769231</v>
      </c>
      <c r="E14" s="18">
        <f t="shared" si="15"/>
        <v>0.10336</v>
      </c>
      <c r="F14" s="18">
        <f t="shared" ref="F14:Q14" si="34">F$2+(($A14-$A$2)*((F$27-F$2)/($A$27-$A$2)))</f>
        <v>0.01987692308</v>
      </c>
      <c r="G14" s="18">
        <f t="shared" si="34"/>
        <v>0.05168</v>
      </c>
      <c r="H14" s="18">
        <f t="shared" si="34"/>
        <v>0.2107076923</v>
      </c>
      <c r="I14" s="18">
        <f t="shared" si="34"/>
        <v>0.06584615385</v>
      </c>
      <c r="J14" s="18">
        <f t="shared" si="34"/>
        <v>0.0856</v>
      </c>
      <c r="K14" s="18">
        <f t="shared" si="34"/>
        <v>0.01646153846</v>
      </c>
      <c r="L14" s="18">
        <f t="shared" si="34"/>
        <v>0.0428</v>
      </c>
      <c r="M14" s="18">
        <f t="shared" si="34"/>
        <v>0.2148395196</v>
      </c>
      <c r="N14" s="18">
        <f t="shared" si="34"/>
        <v>0.07022338462</v>
      </c>
      <c r="O14" s="18">
        <f t="shared" si="34"/>
        <v>0.08417272576</v>
      </c>
      <c r="P14" s="18">
        <f t="shared" si="34"/>
        <v>0.01097188923</v>
      </c>
      <c r="Q14" s="18">
        <f t="shared" si="34"/>
        <v>0.04947152</v>
      </c>
      <c r="R14" s="18">
        <f t="shared" ref="R14:V14" si="35">C14-M14</f>
        <v>0.03958509578</v>
      </c>
      <c r="S14" s="18">
        <f t="shared" si="35"/>
        <v>0.009284307692</v>
      </c>
      <c r="T14" s="18">
        <f t="shared" si="35"/>
        <v>0.01918727424</v>
      </c>
      <c r="U14" s="18">
        <f t="shared" si="35"/>
        <v>0.008905033846</v>
      </c>
      <c r="V14" s="18">
        <f t="shared" si="35"/>
        <v>0.00220848</v>
      </c>
      <c r="W14" s="4">
        <f t="shared" si="4"/>
        <v>83894.70201</v>
      </c>
      <c r="X14" s="4">
        <f t="shared" si="5"/>
        <v>69479.35847</v>
      </c>
      <c r="Y14" s="4">
        <f t="shared" si="6"/>
        <v>70841.79905</v>
      </c>
      <c r="Z14" s="4">
        <f t="shared" si="7"/>
        <v>14415.34353</v>
      </c>
      <c r="AA14" s="42">
        <f t="shared" si="8"/>
        <v>13052.90296</v>
      </c>
      <c r="AB14" s="60">
        <f t="shared" si="14"/>
        <v>0.3359859502</v>
      </c>
    </row>
    <row r="15">
      <c r="A15" s="4">
        <f t="shared" si="9"/>
        <v>2018</v>
      </c>
      <c r="B15" s="4">
        <f>B14+(B14*Indicators!$B$1)</f>
        <v>336337.7239</v>
      </c>
      <c r="C15" s="18">
        <f t="shared" si="10"/>
        <v>0.2551138462</v>
      </c>
      <c r="D15" s="18">
        <f t="shared" si="11"/>
        <v>0.07972307692</v>
      </c>
      <c r="E15" s="18">
        <f t="shared" si="15"/>
        <v>0.10364</v>
      </c>
      <c r="F15" s="18">
        <f t="shared" ref="F15:Q15" si="36">F$2+(($A15-$A$2)*((F$27-F$2)/($A$27-$A$2)))</f>
        <v>0.01993076923</v>
      </c>
      <c r="G15" s="18">
        <f t="shared" si="36"/>
        <v>0.05182</v>
      </c>
      <c r="H15" s="18">
        <f t="shared" si="36"/>
        <v>0.2077538462</v>
      </c>
      <c r="I15" s="18">
        <f t="shared" si="36"/>
        <v>0.06492307692</v>
      </c>
      <c r="J15" s="18">
        <f t="shared" si="36"/>
        <v>0.0844</v>
      </c>
      <c r="K15" s="18">
        <f t="shared" si="36"/>
        <v>0.01623076923</v>
      </c>
      <c r="L15" s="18">
        <f t="shared" si="36"/>
        <v>0.0422</v>
      </c>
      <c r="M15" s="18">
        <f t="shared" si="36"/>
        <v>0.2122299924</v>
      </c>
      <c r="N15" s="18">
        <f t="shared" si="36"/>
        <v>0.06966507692</v>
      </c>
      <c r="O15" s="18">
        <f t="shared" si="36"/>
        <v>0.08285378624</v>
      </c>
      <c r="P15" s="18">
        <f t="shared" si="36"/>
        <v>0.01028364923</v>
      </c>
      <c r="Q15" s="18">
        <f t="shared" si="36"/>
        <v>0.04942748</v>
      </c>
      <c r="R15" s="18">
        <f t="shared" ref="R15:V15" si="37">C15-M15</f>
        <v>0.04288385376</v>
      </c>
      <c r="S15" s="18">
        <f t="shared" si="37"/>
        <v>0.010058</v>
      </c>
      <c r="T15" s="18">
        <f t="shared" si="37"/>
        <v>0.02078621376</v>
      </c>
      <c r="U15" s="18">
        <f t="shared" si="37"/>
        <v>0.00964712</v>
      </c>
      <c r="V15" s="18">
        <f t="shared" si="37"/>
        <v>0.00239252</v>
      </c>
      <c r="W15" s="4">
        <f t="shared" si="4"/>
        <v>85804.41036</v>
      </c>
      <c r="X15" s="4">
        <f t="shared" si="5"/>
        <v>69875.45575</v>
      </c>
      <c r="Y15" s="4">
        <f t="shared" si="6"/>
        <v>71380.95259</v>
      </c>
      <c r="Z15" s="4">
        <f t="shared" si="7"/>
        <v>15928.9546</v>
      </c>
      <c r="AA15" s="42">
        <f t="shared" si="8"/>
        <v>14423.45777</v>
      </c>
      <c r="AB15" s="60">
        <f t="shared" si="14"/>
        <v>0.371264475</v>
      </c>
    </row>
    <row r="16">
      <c r="A16" s="4">
        <f t="shared" si="9"/>
        <v>2019</v>
      </c>
      <c r="B16" s="4">
        <f>B15+(B15*Indicators!$B$1)</f>
        <v>343064.4784</v>
      </c>
      <c r="C16" s="18">
        <f t="shared" si="10"/>
        <v>0.2558030769</v>
      </c>
      <c r="D16" s="18">
        <f t="shared" si="11"/>
        <v>0.07993846154</v>
      </c>
      <c r="E16" s="18">
        <f t="shared" si="15"/>
        <v>0.10392</v>
      </c>
      <c r="F16" s="18">
        <f t="shared" ref="F16:Q16" si="38">F$2+(($A16-$A$2)*((F$27-F$2)/($A$27-$A$2)))</f>
        <v>0.01998461538</v>
      </c>
      <c r="G16" s="18">
        <f t="shared" si="38"/>
        <v>0.05196</v>
      </c>
      <c r="H16" s="18">
        <f t="shared" si="38"/>
        <v>0.2048</v>
      </c>
      <c r="I16" s="18">
        <f t="shared" si="38"/>
        <v>0.064</v>
      </c>
      <c r="J16" s="18">
        <f t="shared" si="38"/>
        <v>0.0832</v>
      </c>
      <c r="K16" s="18">
        <f t="shared" si="38"/>
        <v>0.016</v>
      </c>
      <c r="L16" s="18">
        <f t="shared" si="38"/>
        <v>0.0416</v>
      </c>
      <c r="M16" s="18">
        <f t="shared" si="38"/>
        <v>0.2096204652</v>
      </c>
      <c r="N16" s="18">
        <f t="shared" si="38"/>
        <v>0.06910676923</v>
      </c>
      <c r="O16" s="18">
        <f t="shared" si="38"/>
        <v>0.08153484672</v>
      </c>
      <c r="P16" s="18">
        <f t="shared" si="38"/>
        <v>0.009595409231</v>
      </c>
      <c r="Q16" s="18">
        <f t="shared" si="38"/>
        <v>0.04938344</v>
      </c>
      <c r="R16" s="18">
        <f t="shared" ref="R16:V16" si="39">C16-M16</f>
        <v>0.04618261174</v>
      </c>
      <c r="S16" s="18">
        <f t="shared" si="39"/>
        <v>0.01083169231</v>
      </c>
      <c r="T16" s="18">
        <f t="shared" si="39"/>
        <v>0.02238515328</v>
      </c>
      <c r="U16" s="18">
        <f t="shared" si="39"/>
        <v>0.01038920615</v>
      </c>
      <c r="V16" s="18">
        <f t="shared" si="39"/>
        <v>0.00257656</v>
      </c>
      <c r="W16" s="4">
        <f t="shared" si="4"/>
        <v>87756.94916</v>
      </c>
      <c r="X16" s="4">
        <f t="shared" si="5"/>
        <v>70259.60518</v>
      </c>
      <c r="Y16" s="4">
        <f t="shared" si="6"/>
        <v>71913.33555</v>
      </c>
      <c r="Z16" s="4">
        <f t="shared" si="7"/>
        <v>17497.34398</v>
      </c>
      <c r="AA16" s="42">
        <f t="shared" si="8"/>
        <v>15843.61361</v>
      </c>
      <c r="AB16" s="60">
        <f t="shared" si="14"/>
        <v>0.4078197464</v>
      </c>
    </row>
    <row r="17">
      <c r="A17" s="4">
        <f t="shared" si="9"/>
        <v>2020</v>
      </c>
      <c r="B17" s="4">
        <f>B16+(B16*Indicators!$B$1)</f>
        <v>349925.768</v>
      </c>
      <c r="C17" s="18">
        <f t="shared" si="10"/>
        <v>0.2564923077</v>
      </c>
      <c r="D17" s="18">
        <f t="shared" si="11"/>
        <v>0.08015384615</v>
      </c>
      <c r="E17" s="18">
        <f t="shared" si="15"/>
        <v>0.1042</v>
      </c>
      <c r="F17" s="18">
        <f t="shared" ref="F17:Q17" si="40">F$2+(($A17-$A$2)*((F$27-F$2)/($A$27-$A$2)))</f>
        <v>0.02003846154</v>
      </c>
      <c r="G17" s="18">
        <f t="shared" si="40"/>
        <v>0.0521</v>
      </c>
      <c r="H17" s="18">
        <f t="shared" si="40"/>
        <v>0.2018461538</v>
      </c>
      <c r="I17" s="18">
        <f t="shared" si="40"/>
        <v>0.06307692308</v>
      </c>
      <c r="J17" s="18">
        <f t="shared" si="40"/>
        <v>0.082</v>
      </c>
      <c r="K17" s="18">
        <f t="shared" si="40"/>
        <v>0.01576923077</v>
      </c>
      <c r="L17" s="18">
        <f t="shared" si="40"/>
        <v>0.041</v>
      </c>
      <c r="M17" s="18">
        <f t="shared" si="40"/>
        <v>0.207010938</v>
      </c>
      <c r="N17" s="18">
        <f t="shared" si="40"/>
        <v>0.06854846154</v>
      </c>
      <c r="O17" s="18">
        <f t="shared" si="40"/>
        <v>0.0802159072</v>
      </c>
      <c r="P17" s="18">
        <f t="shared" si="40"/>
        <v>0.008907169231</v>
      </c>
      <c r="Q17" s="18">
        <f t="shared" si="40"/>
        <v>0.0493394</v>
      </c>
      <c r="R17" s="18">
        <f t="shared" ref="R17:V17" si="41">C17-M17</f>
        <v>0.04948136972</v>
      </c>
      <c r="S17" s="18">
        <f t="shared" si="41"/>
        <v>0.01160538462</v>
      </c>
      <c r="T17" s="18">
        <f t="shared" si="41"/>
        <v>0.0239840928</v>
      </c>
      <c r="U17" s="18">
        <f t="shared" si="41"/>
        <v>0.01113129231</v>
      </c>
      <c r="V17" s="18">
        <f t="shared" si="41"/>
        <v>0.0027606</v>
      </c>
      <c r="W17" s="4">
        <f t="shared" si="4"/>
        <v>89753.26775</v>
      </c>
      <c r="X17" s="4">
        <f t="shared" si="5"/>
        <v>70631.1704</v>
      </c>
      <c r="Y17" s="4">
        <f t="shared" si="6"/>
        <v>72438.46145</v>
      </c>
      <c r="Z17" s="4">
        <f t="shared" si="7"/>
        <v>19122.09735</v>
      </c>
      <c r="AA17" s="42">
        <f t="shared" si="8"/>
        <v>17314.8063</v>
      </c>
      <c r="AB17" s="60">
        <f t="shared" si="14"/>
        <v>0.4456887229</v>
      </c>
    </row>
    <row r="18">
      <c r="A18" s="4">
        <f t="shared" si="9"/>
        <v>2021</v>
      </c>
      <c r="B18" s="4">
        <f>B17+(B17*Indicators!$B$1)</f>
        <v>356924.2833</v>
      </c>
      <c r="C18" s="18">
        <f t="shared" si="10"/>
        <v>0.2571815385</v>
      </c>
      <c r="D18" s="18">
        <f t="shared" si="11"/>
        <v>0.08036923077</v>
      </c>
      <c r="E18" s="18">
        <f t="shared" si="15"/>
        <v>0.10448</v>
      </c>
      <c r="F18" s="18">
        <f t="shared" ref="F18:Q18" si="42">F$2+(($A18-$A$2)*((F$27-F$2)/($A$27-$A$2)))</f>
        <v>0.02009230769</v>
      </c>
      <c r="G18" s="18">
        <f t="shared" si="42"/>
        <v>0.05224</v>
      </c>
      <c r="H18" s="18">
        <f t="shared" si="42"/>
        <v>0.1988923077</v>
      </c>
      <c r="I18" s="18">
        <f t="shared" si="42"/>
        <v>0.06215384615</v>
      </c>
      <c r="J18" s="18">
        <f t="shared" si="42"/>
        <v>0.0808</v>
      </c>
      <c r="K18" s="18">
        <f t="shared" si="42"/>
        <v>0.01553846154</v>
      </c>
      <c r="L18" s="18">
        <f t="shared" si="42"/>
        <v>0.0404</v>
      </c>
      <c r="M18" s="18">
        <f t="shared" si="42"/>
        <v>0.2044014108</v>
      </c>
      <c r="N18" s="18">
        <f t="shared" si="42"/>
        <v>0.06799015385</v>
      </c>
      <c r="O18" s="18">
        <f t="shared" si="42"/>
        <v>0.07889696768</v>
      </c>
      <c r="P18" s="18">
        <f t="shared" si="42"/>
        <v>0.008218929231</v>
      </c>
      <c r="Q18" s="18">
        <f t="shared" si="42"/>
        <v>0.04929536</v>
      </c>
      <c r="R18" s="18">
        <f t="shared" ref="R18:V18" si="43">C18-M18</f>
        <v>0.0527801277</v>
      </c>
      <c r="S18" s="18">
        <f t="shared" si="43"/>
        <v>0.01237907692</v>
      </c>
      <c r="T18" s="18">
        <f t="shared" si="43"/>
        <v>0.02558303232</v>
      </c>
      <c r="U18" s="18">
        <f t="shared" si="43"/>
        <v>0.01187337846</v>
      </c>
      <c r="V18" s="18">
        <f t="shared" si="43"/>
        <v>0.00294464</v>
      </c>
      <c r="W18" s="4">
        <f t="shared" si="4"/>
        <v>91794.3363</v>
      </c>
      <c r="X18" s="4">
        <f t="shared" si="5"/>
        <v>70989.49438</v>
      </c>
      <c r="Y18" s="4">
        <f t="shared" si="6"/>
        <v>72955.82704</v>
      </c>
      <c r="Z18" s="4">
        <f t="shared" si="7"/>
        <v>20804.84192</v>
      </c>
      <c r="AA18" s="42">
        <f t="shared" si="8"/>
        <v>18838.50925</v>
      </c>
      <c r="AB18" s="60">
        <f t="shared" si="14"/>
        <v>0.4849093305</v>
      </c>
    </row>
    <row r="19">
      <c r="A19" s="4">
        <f t="shared" si="9"/>
        <v>2022</v>
      </c>
      <c r="B19" s="4">
        <f>B18+(B18*Indicators!$B$1)</f>
        <v>364062.769</v>
      </c>
      <c r="C19" s="18">
        <f t="shared" si="10"/>
        <v>0.2578707692</v>
      </c>
      <c r="D19" s="18">
        <f t="shared" si="11"/>
        <v>0.08058461538</v>
      </c>
      <c r="E19" s="18">
        <f t="shared" si="15"/>
        <v>0.10476</v>
      </c>
      <c r="F19" s="18">
        <f t="shared" ref="F19:Q19" si="44">F$2+(($A19-$A$2)*((F$27-F$2)/($A$27-$A$2)))</f>
        <v>0.02014615385</v>
      </c>
      <c r="G19" s="18">
        <f t="shared" si="44"/>
        <v>0.05238</v>
      </c>
      <c r="H19" s="18">
        <f t="shared" si="44"/>
        <v>0.1959384615</v>
      </c>
      <c r="I19" s="18">
        <f t="shared" si="44"/>
        <v>0.06123076923</v>
      </c>
      <c r="J19" s="18">
        <f t="shared" si="44"/>
        <v>0.0796</v>
      </c>
      <c r="K19" s="18">
        <f t="shared" si="44"/>
        <v>0.01530769231</v>
      </c>
      <c r="L19" s="18">
        <f t="shared" si="44"/>
        <v>0.0398</v>
      </c>
      <c r="M19" s="18">
        <f t="shared" si="44"/>
        <v>0.2017918835</v>
      </c>
      <c r="N19" s="18">
        <f t="shared" si="44"/>
        <v>0.06743184615</v>
      </c>
      <c r="O19" s="18">
        <f t="shared" si="44"/>
        <v>0.07757802816</v>
      </c>
      <c r="P19" s="18">
        <f t="shared" si="44"/>
        <v>0.007530689231</v>
      </c>
      <c r="Q19" s="18">
        <f t="shared" si="44"/>
        <v>0.04925132</v>
      </c>
      <c r="R19" s="18">
        <f t="shared" ref="R19:V19" si="45">C19-M19</f>
        <v>0.05607888569</v>
      </c>
      <c r="S19" s="18">
        <f t="shared" si="45"/>
        <v>0.01315276923</v>
      </c>
      <c r="T19" s="18">
        <f t="shared" si="45"/>
        <v>0.02718197184</v>
      </c>
      <c r="U19" s="18">
        <f t="shared" si="45"/>
        <v>0.01261546462</v>
      </c>
      <c r="V19" s="18">
        <f t="shared" si="45"/>
        <v>0.00312868</v>
      </c>
      <c r="W19" s="4">
        <f t="shared" si="4"/>
        <v>93881.14629</v>
      </c>
      <c r="X19" s="4">
        <f t="shared" si="5"/>
        <v>71333.89886</v>
      </c>
      <c r="Y19" s="4">
        <f t="shared" si="6"/>
        <v>73464.91188</v>
      </c>
      <c r="Z19" s="4">
        <f t="shared" si="7"/>
        <v>22547.24743</v>
      </c>
      <c r="AA19" s="42">
        <f t="shared" si="8"/>
        <v>20416.2344</v>
      </c>
      <c r="AB19" s="60">
        <f t="shared" si="14"/>
        <v>0.5255204869</v>
      </c>
    </row>
    <row r="20">
      <c r="A20" s="4">
        <f t="shared" si="9"/>
        <v>2023</v>
      </c>
      <c r="B20" s="4">
        <f>B19+(B19*Indicators!$B$1)</f>
        <v>371344.0244</v>
      </c>
      <c r="C20" s="18">
        <f t="shared" si="10"/>
        <v>0.25856</v>
      </c>
      <c r="D20" s="18">
        <f t="shared" si="11"/>
        <v>0.0808</v>
      </c>
      <c r="E20" s="18">
        <f t="shared" si="15"/>
        <v>0.10504</v>
      </c>
      <c r="F20" s="18">
        <f t="shared" ref="F20:Q20" si="46">F$2+(($A20-$A$2)*((F$27-F$2)/($A$27-$A$2)))</f>
        <v>0.0202</v>
      </c>
      <c r="G20" s="18">
        <f t="shared" si="46"/>
        <v>0.05252</v>
      </c>
      <c r="H20" s="18">
        <f t="shared" si="46"/>
        <v>0.1929846154</v>
      </c>
      <c r="I20" s="18">
        <f t="shared" si="46"/>
        <v>0.06030769231</v>
      </c>
      <c r="J20" s="18">
        <f t="shared" si="46"/>
        <v>0.0784</v>
      </c>
      <c r="K20" s="18">
        <f t="shared" si="46"/>
        <v>0.01507692308</v>
      </c>
      <c r="L20" s="18">
        <f t="shared" si="46"/>
        <v>0.0392</v>
      </c>
      <c r="M20" s="18">
        <f t="shared" si="46"/>
        <v>0.1991823563</v>
      </c>
      <c r="N20" s="18">
        <f t="shared" si="46"/>
        <v>0.06687353846</v>
      </c>
      <c r="O20" s="18">
        <f t="shared" si="46"/>
        <v>0.07625908864</v>
      </c>
      <c r="P20" s="18">
        <f t="shared" si="46"/>
        <v>0.006842449231</v>
      </c>
      <c r="Q20" s="18">
        <f t="shared" si="46"/>
        <v>0.04920728</v>
      </c>
      <c r="R20" s="18">
        <f t="shared" ref="R20:V20" si="47">C20-M20</f>
        <v>0.05937764367</v>
      </c>
      <c r="S20" s="18">
        <f t="shared" si="47"/>
        <v>0.01392646154</v>
      </c>
      <c r="T20" s="18">
        <f t="shared" si="47"/>
        <v>0.02878091136</v>
      </c>
      <c r="U20" s="18">
        <f t="shared" si="47"/>
        <v>0.01335755077</v>
      </c>
      <c r="V20" s="18">
        <f t="shared" si="47"/>
        <v>0.00331272</v>
      </c>
      <c r="W20" s="4">
        <f t="shared" si="4"/>
        <v>96014.71094</v>
      </c>
      <c r="X20" s="4">
        <f t="shared" si="5"/>
        <v>71663.68372</v>
      </c>
      <c r="Y20" s="4">
        <f t="shared" si="6"/>
        <v>73965.17778</v>
      </c>
      <c r="Z20" s="4">
        <f t="shared" si="7"/>
        <v>24351.02722</v>
      </c>
      <c r="AA20" s="42">
        <f t="shared" si="8"/>
        <v>22049.53316</v>
      </c>
      <c r="AB20" s="60">
        <f t="shared" si="14"/>
        <v>0.5675621258</v>
      </c>
    </row>
    <row r="21">
      <c r="A21" s="4">
        <f t="shared" si="9"/>
        <v>2024</v>
      </c>
      <c r="B21" s="4">
        <f>B20+(B20*Indicators!$B$1)</f>
        <v>378770.9049</v>
      </c>
      <c r="C21" s="18">
        <f t="shared" si="10"/>
        <v>0.2592492308</v>
      </c>
      <c r="D21" s="18">
        <f t="shared" si="11"/>
        <v>0.08101538462</v>
      </c>
      <c r="E21" s="18">
        <f t="shared" si="15"/>
        <v>0.10532</v>
      </c>
      <c r="F21" s="18">
        <f t="shared" ref="F21:Q21" si="48">F$2+(($A21-$A$2)*((F$27-F$2)/($A$27-$A$2)))</f>
        <v>0.02025384615</v>
      </c>
      <c r="G21" s="18">
        <f t="shared" si="48"/>
        <v>0.05266</v>
      </c>
      <c r="H21" s="18">
        <f t="shared" si="48"/>
        <v>0.1900307692</v>
      </c>
      <c r="I21" s="18">
        <f t="shared" si="48"/>
        <v>0.05938461538</v>
      </c>
      <c r="J21" s="18">
        <f t="shared" si="48"/>
        <v>0.0772</v>
      </c>
      <c r="K21" s="18">
        <f t="shared" si="48"/>
        <v>0.01484615385</v>
      </c>
      <c r="L21" s="18">
        <f t="shared" si="48"/>
        <v>0.0386</v>
      </c>
      <c r="M21" s="18">
        <f t="shared" si="48"/>
        <v>0.1965728291</v>
      </c>
      <c r="N21" s="18">
        <f t="shared" si="48"/>
        <v>0.06631523077</v>
      </c>
      <c r="O21" s="18">
        <f t="shared" si="48"/>
        <v>0.07494014912</v>
      </c>
      <c r="P21" s="18">
        <f t="shared" si="48"/>
        <v>0.006154209231</v>
      </c>
      <c r="Q21" s="18">
        <f t="shared" si="48"/>
        <v>0.04916324</v>
      </c>
      <c r="R21" s="18">
        <f t="shared" ref="R21:V21" si="49">C21-M21</f>
        <v>0.06267640165</v>
      </c>
      <c r="S21" s="18">
        <f t="shared" si="49"/>
        <v>0.01470015385</v>
      </c>
      <c r="T21" s="18">
        <f t="shared" si="49"/>
        <v>0.03037985088</v>
      </c>
      <c r="U21" s="18">
        <f t="shared" si="49"/>
        <v>0.01409963692</v>
      </c>
      <c r="V21" s="18">
        <f t="shared" si="49"/>
        <v>0.00349676</v>
      </c>
      <c r="W21" s="4">
        <f t="shared" si="4"/>
        <v>98196.06572</v>
      </c>
      <c r="X21" s="4">
        <f t="shared" si="5"/>
        <v>71978.12641</v>
      </c>
      <c r="Y21" s="4">
        <f t="shared" si="6"/>
        <v>74456.06836</v>
      </c>
      <c r="Z21" s="4">
        <f t="shared" si="7"/>
        <v>26217.93931</v>
      </c>
      <c r="AA21" s="42">
        <f t="shared" si="8"/>
        <v>23739.99737</v>
      </c>
      <c r="AB21" s="60">
        <f t="shared" si="14"/>
        <v>0.6110752222</v>
      </c>
    </row>
    <row r="22">
      <c r="A22" s="4">
        <f t="shared" si="9"/>
        <v>2025</v>
      </c>
      <c r="B22" s="4">
        <f>B21+(B21*Indicators!$B$1)</f>
        <v>386346.323</v>
      </c>
      <c r="C22" s="18">
        <f t="shared" si="10"/>
        <v>0.2599384615</v>
      </c>
      <c r="D22" s="18">
        <f t="shared" si="11"/>
        <v>0.08123076923</v>
      </c>
      <c r="E22" s="18">
        <f t="shared" si="15"/>
        <v>0.1056</v>
      </c>
      <c r="F22" s="18">
        <f t="shared" ref="F22:Q22" si="50">F$2+(($A22-$A$2)*((F$27-F$2)/($A$27-$A$2)))</f>
        <v>0.02030769231</v>
      </c>
      <c r="G22" s="18">
        <f t="shared" si="50"/>
        <v>0.0528</v>
      </c>
      <c r="H22" s="18">
        <f t="shared" si="50"/>
        <v>0.1870769231</v>
      </c>
      <c r="I22" s="18">
        <f t="shared" si="50"/>
        <v>0.05846153846</v>
      </c>
      <c r="J22" s="18">
        <f t="shared" si="50"/>
        <v>0.076</v>
      </c>
      <c r="K22" s="18">
        <f t="shared" si="50"/>
        <v>0.01461538462</v>
      </c>
      <c r="L22" s="18">
        <f t="shared" si="50"/>
        <v>0.038</v>
      </c>
      <c r="M22" s="18">
        <f t="shared" si="50"/>
        <v>0.1939633019</v>
      </c>
      <c r="N22" s="18">
        <f t="shared" si="50"/>
        <v>0.06575692308</v>
      </c>
      <c r="O22" s="18">
        <f t="shared" si="50"/>
        <v>0.0736212096</v>
      </c>
      <c r="P22" s="18">
        <f t="shared" si="50"/>
        <v>0.005465969231</v>
      </c>
      <c r="Q22" s="18">
        <f t="shared" si="50"/>
        <v>0.0491192</v>
      </c>
      <c r="R22" s="18">
        <f t="shared" ref="R22:V22" si="51">C22-M22</f>
        <v>0.06597515963</v>
      </c>
      <c r="S22" s="18">
        <f t="shared" si="51"/>
        <v>0.01547384615</v>
      </c>
      <c r="T22" s="18">
        <f t="shared" si="51"/>
        <v>0.0319787904</v>
      </c>
      <c r="U22" s="18">
        <f t="shared" si="51"/>
        <v>0.01484172308</v>
      </c>
      <c r="V22" s="18">
        <f t="shared" si="51"/>
        <v>0.0036808</v>
      </c>
      <c r="W22" s="4">
        <f t="shared" si="4"/>
        <v>100426.2688</v>
      </c>
      <c r="X22" s="4">
        <f t="shared" si="5"/>
        <v>72276.48134</v>
      </c>
      <c r="Y22" s="4">
        <f t="shared" si="6"/>
        <v>74937.00848</v>
      </c>
      <c r="Z22" s="4">
        <f t="shared" si="7"/>
        <v>28149.78747</v>
      </c>
      <c r="AA22" s="42">
        <f t="shared" si="8"/>
        <v>25489.26033</v>
      </c>
      <c r="AB22" s="60">
        <f t="shared" si="14"/>
        <v>0.6561018175</v>
      </c>
    </row>
    <row r="23">
      <c r="A23" s="4">
        <f t="shared" si="9"/>
        <v>2026</v>
      </c>
      <c r="B23" s="4">
        <f>B22+(B22*Indicators!$B$1)</f>
        <v>394073.2494</v>
      </c>
      <c r="C23" s="18">
        <f t="shared" si="10"/>
        <v>0.2606276923</v>
      </c>
      <c r="D23" s="18">
        <f t="shared" si="11"/>
        <v>0.08144615385</v>
      </c>
      <c r="E23" s="18">
        <f t="shared" si="15"/>
        <v>0.10588</v>
      </c>
      <c r="F23" s="18">
        <f t="shared" ref="F23:Q23" si="52">F$2+(($A23-$A$2)*((F$27-F$2)/($A$27-$A$2)))</f>
        <v>0.02036153846</v>
      </c>
      <c r="G23" s="18">
        <f t="shared" si="52"/>
        <v>0.05294</v>
      </c>
      <c r="H23" s="18">
        <f t="shared" si="52"/>
        <v>0.1841230769</v>
      </c>
      <c r="I23" s="18">
        <f t="shared" si="52"/>
        <v>0.05753846154</v>
      </c>
      <c r="J23" s="18">
        <f t="shared" si="52"/>
        <v>0.0748</v>
      </c>
      <c r="K23" s="18">
        <f t="shared" si="52"/>
        <v>0.01438461538</v>
      </c>
      <c r="L23" s="18">
        <f t="shared" si="52"/>
        <v>0.0374</v>
      </c>
      <c r="M23" s="18">
        <f t="shared" si="52"/>
        <v>0.1913537747</v>
      </c>
      <c r="N23" s="18">
        <f t="shared" si="52"/>
        <v>0.06519861538</v>
      </c>
      <c r="O23" s="18">
        <f t="shared" si="52"/>
        <v>0.07230227008</v>
      </c>
      <c r="P23" s="18">
        <f t="shared" si="52"/>
        <v>0.004777729231</v>
      </c>
      <c r="Q23" s="18">
        <f t="shared" si="52"/>
        <v>0.04907516</v>
      </c>
      <c r="R23" s="18">
        <f t="shared" ref="R23:V23" si="53">C23-M23</f>
        <v>0.06927391761</v>
      </c>
      <c r="S23" s="18">
        <f t="shared" si="53"/>
        <v>0.01624753846</v>
      </c>
      <c r="T23" s="18">
        <f t="shared" si="53"/>
        <v>0.03357772992</v>
      </c>
      <c r="U23" s="18">
        <f t="shared" si="53"/>
        <v>0.01558380923</v>
      </c>
      <c r="V23" s="18">
        <f t="shared" si="53"/>
        <v>0.00386484</v>
      </c>
      <c r="W23" s="4">
        <f t="shared" si="4"/>
        <v>102706.4016</v>
      </c>
      <c r="X23" s="4">
        <f t="shared" si="5"/>
        <v>72557.97922</v>
      </c>
      <c r="Y23" s="4">
        <f t="shared" si="6"/>
        <v>75407.40378</v>
      </c>
      <c r="Z23" s="4">
        <f t="shared" si="7"/>
        <v>30148.42238</v>
      </c>
      <c r="AA23" s="42">
        <f t="shared" si="8"/>
        <v>27298.99781</v>
      </c>
      <c r="AB23" s="60">
        <f t="shared" si="14"/>
        <v>0.7026850465</v>
      </c>
    </row>
    <row r="24">
      <c r="A24" s="4">
        <f t="shared" si="9"/>
        <v>2027</v>
      </c>
      <c r="B24" s="4">
        <f>B23+(B23*Indicators!$B$1)</f>
        <v>401954.7144</v>
      </c>
      <c r="C24" s="18">
        <f t="shared" si="10"/>
        <v>0.2613169231</v>
      </c>
      <c r="D24" s="18">
        <f t="shared" si="11"/>
        <v>0.08166153846</v>
      </c>
      <c r="E24" s="18">
        <f t="shared" si="15"/>
        <v>0.10616</v>
      </c>
      <c r="F24" s="18">
        <f t="shared" ref="F24:Q24" si="54">F$2+(($A24-$A$2)*((F$27-F$2)/($A$27-$A$2)))</f>
        <v>0.02041538462</v>
      </c>
      <c r="G24" s="18">
        <f t="shared" si="54"/>
        <v>0.05308</v>
      </c>
      <c r="H24" s="18">
        <f t="shared" si="54"/>
        <v>0.1811692308</v>
      </c>
      <c r="I24" s="18">
        <f t="shared" si="54"/>
        <v>0.05661538462</v>
      </c>
      <c r="J24" s="18">
        <f t="shared" si="54"/>
        <v>0.0736</v>
      </c>
      <c r="K24" s="18">
        <f t="shared" si="54"/>
        <v>0.01415384615</v>
      </c>
      <c r="L24" s="18">
        <f t="shared" si="54"/>
        <v>0.0368</v>
      </c>
      <c r="M24" s="18">
        <f t="shared" si="54"/>
        <v>0.1887442475</v>
      </c>
      <c r="N24" s="18">
        <f t="shared" si="54"/>
        <v>0.06464030769</v>
      </c>
      <c r="O24" s="18">
        <f t="shared" si="54"/>
        <v>0.07098333056</v>
      </c>
      <c r="P24" s="18">
        <f t="shared" si="54"/>
        <v>0.004089489231</v>
      </c>
      <c r="Q24" s="18">
        <f t="shared" si="54"/>
        <v>0.04903112</v>
      </c>
      <c r="R24" s="18">
        <f t="shared" ref="R24:V24" si="55">C24-M24</f>
        <v>0.07257267559</v>
      </c>
      <c r="S24" s="18">
        <f t="shared" si="55"/>
        <v>0.01702123077</v>
      </c>
      <c r="T24" s="18">
        <f t="shared" si="55"/>
        <v>0.03517666944</v>
      </c>
      <c r="U24" s="18">
        <f t="shared" si="55"/>
        <v>0.01632589538</v>
      </c>
      <c r="V24" s="18">
        <f t="shared" si="55"/>
        <v>0.00404888</v>
      </c>
      <c r="W24" s="4">
        <f t="shared" si="4"/>
        <v>105037.5692</v>
      </c>
      <c r="X24" s="4">
        <f t="shared" si="5"/>
        <v>72821.82641</v>
      </c>
      <c r="Y24" s="4">
        <f t="shared" si="6"/>
        <v>75866.64009</v>
      </c>
      <c r="Z24" s="4">
        <f t="shared" si="7"/>
        <v>32215.74277</v>
      </c>
      <c r="AA24" s="42">
        <f t="shared" si="8"/>
        <v>29170.92909</v>
      </c>
      <c r="AB24" s="60">
        <f t="shared" si="14"/>
        <v>0.750869164</v>
      </c>
    </row>
    <row r="25">
      <c r="A25" s="4">
        <f t="shared" si="9"/>
        <v>2028</v>
      </c>
      <c r="B25" s="4">
        <f>B24+(B24*Indicators!$B$1)</f>
        <v>409993.8087</v>
      </c>
      <c r="C25" s="18">
        <f t="shared" si="10"/>
        <v>0.2620061538</v>
      </c>
      <c r="D25" s="18">
        <f t="shared" si="11"/>
        <v>0.08187692308</v>
      </c>
      <c r="E25" s="18">
        <f t="shared" si="15"/>
        <v>0.10644</v>
      </c>
      <c r="F25" s="18">
        <f t="shared" ref="F25:Q25" si="56">F$2+(($A25-$A$2)*((F$27-F$2)/($A$27-$A$2)))</f>
        <v>0.02046923077</v>
      </c>
      <c r="G25" s="18">
        <f t="shared" si="56"/>
        <v>0.05322</v>
      </c>
      <c r="H25" s="18">
        <f t="shared" si="56"/>
        <v>0.1782153846</v>
      </c>
      <c r="I25" s="18">
        <f t="shared" si="56"/>
        <v>0.05569230769</v>
      </c>
      <c r="J25" s="18">
        <f t="shared" si="56"/>
        <v>0.0724</v>
      </c>
      <c r="K25" s="18">
        <f t="shared" si="56"/>
        <v>0.01392307692</v>
      </c>
      <c r="L25" s="18">
        <f t="shared" si="56"/>
        <v>0.0362</v>
      </c>
      <c r="M25" s="18">
        <f t="shared" si="56"/>
        <v>0.1861347203</v>
      </c>
      <c r="N25" s="18">
        <f t="shared" si="56"/>
        <v>0.064082</v>
      </c>
      <c r="O25" s="18">
        <f t="shared" si="56"/>
        <v>0.06966439104</v>
      </c>
      <c r="P25" s="18">
        <f t="shared" si="56"/>
        <v>0.003401249231</v>
      </c>
      <c r="Q25" s="18">
        <f t="shared" si="56"/>
        <v>0.04898708</v>
      </c>
      <c r="R25" s="18">
        <f t="shared" ref="R25:V25" si="57">C25-M25</f>
        <v>0.07587143358</v>
      </c>
      <c r="S25" s="18">
        <f t="shared" si="57"/>
        <v>0.01779492308</v>
      </c>
      <c r="T25" s="18">
        <f t="shared" si="57"/>
        <v>0.03677560896</v>
      </c>
      <c r="U25" s="18">
        <f t="shared" si="57"/>
        <v>0.01706798154</v>
      </c>
      <c r="V25" s="18">
        <f t="shared" si="57"/>
        <v>0.00423292</v>
      </c>
      <c r="W25" s="4">
        <f t="shared" si="4"/>
        <v>107420.9009</v>
      </c>
      <c r="X25" s="4">
        <f t="shared" si="5"/>
        <v>73067.20431</v>
      </c>
      <c r="Y25" s="4">
        <f t="shared" si="6"/>
        <v>76314.08289</v>
      </c>
      <c r="Z25" s="4">
        <f t="shared" si="7"/>
        <v>34353.69661</v>
      </c>
      <c r="AA25" s="42">
        <f t="shared" si="8"/>
        <v>31106.81802</v>
      </c>
      <c r="AB25" s="60">
        <f t="shared" si="14"/>
        <v>0.8006995722</v>
      </c>
    </row>
    <row r="26">
      <c r="A26" s="4">
        <f t="shared" si="9"/>
        <v>2029</v>
      </c>
      <c r="B26" s="4">
        <f>B25+(B25*Indicators!$B$1)</f>
        <v>418193.6849</v>
      </c>
      <c r="C26" s="18">
        <f t="shared" si="10"/>
        <v>0.2626953846</v>
      </c>
      <c r="D26" s="18">
        <f t="shared" si="11"/>
        <v>0.08209230769</v>
      </c>
      <c r="E26" s="18">
        <f t="shared" si="15"/>
        <v>0.10672</v>
      </c>
      <c r="F26" s="18">
        <f t="shared" ref="F26:Q26" si="58">F$2+(($A26-$A$2)*((F$27-F$2)/($A$27-$A$2)))</f>
        <v>0.02052307692</v>
      </c>
      <c r="G26" s="18">
        <f t="shared" si="58"/>
        <v>0.05336</v>
      </c>
      <c r="H26" s="18">
        <f t="shared" si="58"/>
        <v>0.1752615385</v>
      </c>
      <c r="I26" s="18">
        <f t="shared" si="58"/>
        <v>0.05476923077</v>
      </c>
      <c r="J26" s="18">
        <f t="shared" si="58"/>
        <v>0.0712</v>
      </c>
      <c r="K26" s="18">
        <f t="shared" si="58"/>
        <v>0.01369230769</v>
      </c>
      <c r="L26" s="18">
        <f t="shared" si="58"/>
        <v>0.0356</v>
      </c>
      <c r="M26" s="18">
        <f t="shared" si="58"/>
        <v>0.1835251931</v>
      </c>
      <c r="N26" s="18">
        <f t="shared" si="58"/>
        <v>0.06352369231</v>
      </c>
      <c r="O26" s="18">
        <f t="shared" si="58"/>
        <v>0.06834545152</v>
      </c>
      <c r="P26" s="18">
        <f t="shared" si="58"/>
        <v>0.002713009231</v>
      </c>
      <c r="Q26" s="18">
        <f t="shared" si="58"/>
        <v>0.04894304</v>
      </c>
      <c r="R26" s="18">
        <f t="shared" ref="R26:V26" si="59">C26-M26</f>
        <v>0.07917019156</v>
      </c>
      <c r="S26" s="18">
        <f t="shared" si="59"/>
        <v>0.01856861538</v>
      </c>
      <c r="T26" s="18">
        <f t="shared" si="59"/>
        <v>0.03837454848</v>
      </c>
      <c r="U26" s="18">
        <f t="shared" si="59"/>
        <v>0.01781006769</v>
      </c>
      <c r="V26" s="18">
        <f t="shared" si="59"/>
        <v>0.00441696</v>
      </c>
      <c r="W26" s="4">
        <f t="shared" si="4"/>
        <v>109857.5509</v>
      </c>
      <c r="X26" s="4">
        <f t="shared" si="5"/>
        <v>73293.26858</v>
      </c>
      <c r="Y26" s="4">
        <f t="shared" si="6"/>
        <v>76749.07675</v>
      </c>
      <c r="Z26" s="4">
        <f t="shared" si="7"/>
        <v>36564.2823</v>
      </c>
      <c r="AA26" s="42">
        <f t="shared" si="8"/>
        <v>33108.47414</v>
      </c>
      <c r="AB26" s="60">
        <f t="shared" si="14"/>
        <v>0.852222849</v>
      </c>
    </row>
    <row r="27">
      <c r="A27" s="119">
        <f t="array" ref="A27:G27">Indicators!A11:G11</f>
        <v>2030</v>
      </c>
      <c r="B27" s="120">
        <v>426557.55856082996</v>
      </c>
      <c r="C27" s="121">
        <v>0.26338461538461544</v>
      </c>
      <c r="D27" s="122">
        <v>0.08230769230769232</v>
      </c>
      <c r="E27" s="122">
        <v>0.10700000000000001</v>
      </c>
      <c r="F27" s="122">
        <v>0.02057692307692308</v>
      </c>
      <c r="G27" s="122">
        <v>0.053500000000000006</v>
      </c>
      <c r="H27" s="122">
        <f>sum(I27:L27)</f>
        <v>0.1723076923</v>
      </c>
      <c r="I27" s="122">
        <f t="array" ref="I27:L27">Indicators!I11:L11</f>
        <v>0.05384615385</v>
      </c>
      <c r="J27" s="122">
        <v>0.07</v>
      </c>
      <c r="K27" s="122">
        <v>0.013461538461538462</v>
      </c>
      <c r="L27" s="122">
        <v>0.035</v>
      </c>
      <c r="M27" s="121">
        <f>sum(N27:Q27)</f>
        <v>0.1809156658</v>
      </c>
      <c r="N27" s="121">
        <f t="array" ref="N27:Q27">Indicators!N11:Q11</f>
        <v>0.06296538462</v>
      </c>
      <c r="O27" s="121">
        <v>0.067026512</v>
      </c>
      <c r="P27" s="121">
        <v>0.0020247692307692293</v>
      </c>
      <c r="Q27" s="121">
        <v>0.048899000000000005</v>
      </c>
      <c r="R27" s="10">
        <f t="shared" ref="R27:V27" si="60">C27-M27</f>
        <v>0.08246894954</v>
      </c>
      <c r="S27" s="10">
        <f t="shared" si="60"/>
        <v>0.01934230769</v>
      </c>
      <c r="T27" s="10">
        <f t="shared" si="60"/>
        <v>0.039973488</v>
      </c>
      <c r="U27" s="10">
        <f t="shared" si="60"/>
        <v>0.01855215385</v>
      </c>
      <c r="V27" s="10">
        <f t="shared" si="60"/>
        <v>0.004601</v>
      </c>
      <c r="W27" s="123">
        <f t="shared" si="4"/>
        <v>112348.6985</v>
      </c>
      <c r="X27" s="123">
        <f t="shared" si="5"/>
        <v>73499.14855</v>
      </c>
      <c r="Y27" s="123">
        <f t="shared" si="6"/>
        <v>77170.94473</v>
      </c>
      <c r="Z27" s="123">
        <f t="shared" si="7"/>
        <v>38849.54995</v>
      </c>
      <c r="AA27" s="124">
        <f t="shared" si="8"/>
        <v>35177.75377</v>
      </c>
      <c r="AB27" s="60">
        <f t="shared" si="14"/>
        <v>0.905486777</v>
      </c>
    </row>
    <row r="28">
      <c r="A28" s="3">
        <v>2031.0</v>
      </c>
      <c r="B28" s="42">
        <f>B27+(B27*Indicators!$B$1)</f>
        <v>435088.7097</v>
      </c>
      <c r="C28" s="18">
        <f t="shared" ref="C28:Q28" si="61">C$27+(($A28-$A$27)*((C$47-C$27)/($A$47-$A$27)))</f>
        <v>0.2637538462</v>
      </c>
      <c r="D28" s="18">
        <f t="shared" si="61"/>
        <v>0.08242307692</v>
      </c>
      <c r="E28" s="18">
        <f t="shared" si="61"/>
        <v>0.10715</v>
      </c>
      <c r="F28" s="18">
        <f t="shared" si="61"/>
        <v>0.02060576923</v>
      </c>
      <c r="G28" s="18">
        <f t="shared" si="61"/>
        <v>0.053575</v>
      </c>
      <c r="H28" s="18">
        <f t="shared" si="61"/>
        <v>0.1643076923</v>
      </c>
      <c r="I28" s="18">
        <f t="shared" si="61"/>
        <v>0.05134615385</v>
      </c>
      <c r="J28" s="18">
        <f t="shared" si="61"/>
        <v>0.06675</v>
      </c>
      <c r="K28" s="18">
        <f t="shared" si="61"/>
        <v>0.01283653846</v>
      </c>
      <c r="L28" s="18">
        <f t="shared" si="61"/>
        <v>0.033375</v>
      </c>
      <c r="M28" s="18">
        <f t="shared" si="61"/>
        <v>0.1782382232</v>
      </c>
      <c r="N28" s="18">
        <f t="shared" si="61"/>
        <v>0.06189780769</v>
      </c>
      <c r="O28" s="18">
        <f t="shared" si="61"/>
        <v>0.065591404</v>
      </c>
      <c r="P28" s="18">
        <f t="shared" si="61"/>
        <v>0.002076261538</v>
      </c>
      <c r="Q28" s="18">
        <f t="shared" si="61"/>
        <v>0.04867275</v>
      </c>
      <c r="R28" s="18">
        <f t="shared" ref="R28:V28" si="62">C28-M28</f>
        <v>0.08551562292</v>
      </c>
      <c r="S28" s="18">
        <f t="shared" si="62"/>
        <v>0.02052526923</v>
      </c>
      <c r="T28" s="18">
        <f t="shared" si="62"/>
        <v>0.041558596</v>
      </c>
      <c r="U28" s="18">
        <f t="shared" si="62"/>
        <v>0.01852950769</v>
      </c>
      <c r="V28" s="18">
        <f t="shared" si="62"/>
        <v>0.00490225</v>
      </c>
      <c r="W28" s="4">
        <f t="shared" si="4"/>
        <v>114756.3206</v>
      </c>
      <c r="X28" s="4">
        <f t="shared" si="5"/>
        <v>71488.42185</v>
      </c>
      <c r="Y28" s="4">
        <f t="shared" si="6"/>
        <v>77549.43857</v>
      </c>
      <c r="Z28" s="4">
        <f t="shared" si="7"/>
        <v>43267.89876</v>
      </c>
      <c r="AA28" s="42">
        <f t="shared" si="8"/>
        <v>37206.88204</v>
      </c>
      <c r="AB28" s="60">
        <f t="shared" ref="AB28:AB47" si="65">AA28/Z$47</f>
        <v>0.2271152387</v>
      </c>
    </row>
    <row r="29">
      <c r="A29" s="4">
        <f t="shared" ref="A29:A46" si="66">A28+1</f>
        <v>2032</v>
      </c>
      <c r="B29" s="42">
        <f>B28+(B28*Indicators!$B$1)</f>
        <v>443790.4839</v>
      </c>
      <c r="C29" s="18">
        <f t="shared" ref="C29:Q29" si="63">C$27+(($A29-$A$27)*((C$47-C$27)/($A$47-$A$27)))</f>
        <v>0.2641230769</v>
      </c>
      <c r="D29" s="18">
        <f t="shared" si="63"/>
        <v>0.08253846154</v>
      </c>
      <c r="E29" s="18">
        <f t="shared" si="63"/>
        <v>0.1073</v>
      </c>
      <c r="F29" s="18">
        <f t="shared" si="63"/>
        <v>0.02063461538</v>
      </c>
      <c r="G29" s="18">
        <f t="shared" si="63"/>
        <v>0.05365</v>
      </c>
      <c r="H29" s="18">
        <f t="shared" si="63"/>
        <v>0.1563076923</v>
      </c>
      <c r="I29" s="18">
        <f t="shared" si="63"/>
        <v>0.04884615385</v>
      </c>
      <c r="J29" s="18">
        <f t="shared" si="63"/>
        <v>0.0635</v>
      </c>
      <c r="K29" s="18">
        <f t="shared" si="63"/>
        <v>0.01221153846</v>
      </c>
      <c r="L29" s="18">
        <f t="shared" si="63"/>
        <v>0.03175</v>
      </c>
      <c r="M29" s="18">
        <f t="shared" si="63"/>
        <v>0.1755607806</v>
      </c>
      <c r="N29" s="18">
        <f t="shared" si="63"/>
        <v>0.06083023077</v>
      </c>
      <c r="O29" s="18">
        <f t="shared" si="63"/>
        <v>0.064156296</v>
      </c>
      <c r="P29" s="18">
        <f t="shared" si="63"/>
        <v>0.002127753846</v>
      </c>
      <c r="Q29" s="18">
        <f t="shared" si="63"/>
        <v>0.0484465</v>
      </c>
      <c r="R29" s="18">
        <f t="shared" ref="R29:V29" si="64">C29-M29</f>
        <v>0.08856229631</v>
      </c>
      <c r="S29" s="18">
        <f t="shared" si="64"/>
        <v>0.02170823077</v>
      </c>
      <c r="T29" s="18">
        <f t="shared" si="64"/>
        <v>0.043143704</v>
      </c>
      <c r="U29" s="18">
        <f t="shared" si="64"/>
        <v>0.01850686154</v>
      </c>
      <c r="V29" s="18">
        <f t="shared" si="64"/>
        <v>0.0052035</v>
      </c>
      <c r="W29" s="4">
        <f t="shared" si="4"/>
        <v>117215.3081</v>
      </c>
      <c r="X29" s="4">
        <f t="shared" si="5"/>
        <v>69367.86641</v>
      </c>
      <c r="Y29" s="4">
        <f t="shared" si="6"/>
        <v>77912.20379</v>
      </c>
      <c r="Z29" s="4">
        <f t="shared" si="7"/>
        <v>47847.44171</v>
      </c>
      <c r="AA29" s="42">
        <f t="shared" si="8"/>
        <v>39303.10434</v>
      </c>
      <c r="AB29" s="60">
        <f t="shared" si="65"/>
        <v>0.2399108293</v>
      </c>
    </row>
    <row r="30">
      <c r="A30" s="4">
        <f t="shared" si="66"/>
        <v>2033</v>
      </c>
      <c r="B30" s="42">
        <f>B29+(B29*Indicators!$B$1)</f>
        <v>452666.2936</v>
      </c>
      <c r="C30" s="18">
        <f t="shared" ref="C30:Q30" si="67">C$27+(($A30-$A$27)*((C$47-C$27)/($A$47-$A$27)))</f>
        <v>0.2644923077</v>
      </c>
      <c r="D30" s="18">
        <f t="shared" si="67"/>
        <v>0.08265384615</v>
      </c>
      <c r="E30" s="18">
        <f t="shared" si="67"/>
        <v>0.10745</v>
      </c>
      <c r="F30" s="18">
        <f t="shared" si="67"/>
        <v>0.02066346154</v>
      </c>
      <c r="G30" s="18">
        <f t="shared" si="67"/>
        <v>0.053725</v>
      </c>
      <c r="H30" s="18">
        <f t="shared" si="67"/>
        <v>0.1483076923</v>
      </c>
      <c r="I30" s="18">
        <f t="shared" si="67"/>
        <v>0.04634615385</v>
      </c>
      <c r="J30" s="18">
        <f t="shared" si="67"/>
        <v>0.06025</v>
      </c>
      <c r="K30" s="18">
        <f t="shared" si="67"/>
        <v>0.01158653846</v>
      </c>
      <c r="L30" s="18">
        <f t="shared" si="67"/>
        <v>0.030125</v>
      </c>
      <c r="M30" s="18">
        <f t="shared" si="67"/>
        <v>0.172883338</v>
      </c>
      <c r="N30" s="18">
        <f t="shared" si="67"/>
        <v>0.05976265385</v>
      </c>
      <c r="O30" s="18">
        <f t="shared" si="67"/>
        <v>0.062721188</v>
      </c>
      <c r="P30" s="18">
        <f t="shared" si="67"/>
        <v>0.002179246154</v>
      </c>
      <c r="Q30" s="18">
        <f t="shared" si="67"/>
        <v>0.04822025</v>
      </c>
      <c r="R30" s="18">
        <f t="shared" ref="R30:V30" si="68">C30-M30</f>
        <v>0.09160896969</v>
      </c>
      <c r="S30" s="18">
        <f t="shared" si="68"/>
        <v>0.02289119231</v>
      </c>
      <c r="T30" s="18">
        <f t="shared" si="68"/>
        <v>0.044728812</v>
      </c>
      <c r="U30" s="18">
        <f t="shared" si="68"/>
        <v>0.01848421538</v>
      </c>
      <c r="V30" s="18">
        <f t="shared" si="68"/>
        <v>0.00550475</v>
      </c>
      <c r="W30" s="4">
        <f t="shared" si="4"/>
        <v>119726.7526</v>
      </c>
      <c r="X30" s="4">
        <f t="shared" si="5"/>
        <v>67133.89339</v>
      </c>
      <c r="Y30" s="4">
        <f t="shared" si="6"/>
        <v>78258.45984</v>
      </c>
      <c r="Z30" s="4">
        <f t="shared" si="7"/>
        <v>52592.85922</v>
      </c>
      <c r="AA30" s="42">
        <f t="shared" si="8"/>
        <v>41468.29277</v>
      </c>
      <c r="AB30" s="60">
        <f t="shared" si="65"/>
        <v>0.2531273973</v>
      </c>
    </row>
    <row r="31">
      <c r="A31" s="4">
        <f t="shared" si="66"/>
        <v>2034</v>
      </c>
      <c r="B31" s="42">
        <f>B30+(B30*Indicators!$B$1)</f>
        <v>461719.6195</v>
      </c>
      <c r="C31" s="18">
        <f t="shared" ref="C31:Q31" si="69">C$27+(($A31-$A$27)*((C$47-C$27)/($A$47-$A$27)))</f>
        <v>0.2648615385</v>
      </c>
      <c r="D31" s="18">
        <f t="shared" si="69"/>
        <v>0.08276923077</v>
      </c>
      <c r="E31" s="18">
        <f t="shared" si="69"/>
        <v>0.1076</v>
      </c>
      <c r="F31" s="18">
        <f t="shared" si="69"/>
        <v>0.02069230769</v>
      </c>
      <c r="G31" s="18">
        <f t="shared" si="69"/>
        <v>0.0538</v>
      </c>
      <c r="H31" s="18">
        <f t="shared" si="69"/>
        <v>0.1403076923</v>
      </c>
      <c r="I31" s="18">
        <f t="shared" si="69"/>
        <v>0.04384615385</v>
      </c>
      <c r="J31" s="18">
        <f t="shared" si="69"/>
        <v>0.057</v>
      </c>
      <c r="K31" s="18">
        <f t="shared" si="69"/>
        <v>0.01096153846</v>
      </c>
      <c r="L31" s="18">
        <f t="shared" si="69"/>
        <v>0.0285</v>
      </c>
      <c r="M31" s="18">
        <f t="shared" si="69"/>
        <v>0.1702058954</v>
      </c>
      <c r="N31" s="18">
        <f t="shared" si="69"/>
        <v>0.05869507692</v>
      </c>
      <c r="O31" s="18">
        <f t="shared" si="69"/>
        <v>0.06128608</v>
      </c>
      <c r="P31" s="18">
        <f t="shared" si="69"/>
        <v>0.002230738462</v>
      </c>
      <c r="Q31" s="18">
        <f t="shared" si="69"/>
        <v>0.047994</v>
      </c>
      <c r="R31" s="18">
        <f t="shared" ref="R31:V31" si="70">C31-M31</f>
        <v>0.09465564308</v>
      </c>
      <c r="S31" s="18">
        <f t="shared" si="70"/>
        <v>0.02407415385</v>
      </c>
      <c r="T31" s="18">
        <f t="shared" si="70"/>
        <v>0.04631392</v>
      </c>
      <c r="U31" s="18">
        <f t="shared" si="70"/>
        <v>0.01846156923</v>
      </c>
      <c r="V31" s="18">
        <f t="shared" si="70"/>
        <v>0.005806</v>
      </c>
      <c r="W31" s="4">
        <f t="shared" si="4"/>
        <v>122291.7688</v>
      </c>
      <c r="X31" s="4">
        <f t="shared" si="5"/>
        <v>64782.8143</v>
      </c>
      <c r="Y31" s="4">
        <f t="shared" si="6"/>
        <v>78587.40125</v>
      </c>
      <c r="Z31" s="4">
        <f t="shared" si="7"/>
        <v>57508.95445</v>
      </c>
      <c r="AA31" s="42">
        <f t="shared" si="8"/>
        <v>43704.3675</v>
      </c>
      <c r="AB31" s="60">
        <f t="shared" si="65"/>
        <v>0.2667766638</v>
      </c>
    </row>
    <row r="32">
      <c r="A32" s="4">
        <f t="shared" si="66"/>
        <v>2035</v>
      </c>
      <c r="B32" s="42">
        <f>B31+(B31*Indicators!$B$1)</f>
        <v>470954.0119</v>
      </c>
      <c r="C32" s="18">
        <f t="shared" ref="C32:Q32" si="71">C$27+(($A32-$A$27)*((C$47-C$27)/($A$47-$A$27)))</f>
        <v>0.2652307692</v>
      </c>
      <c r="D32" s="18">
        <f t="shared" si="71"/>
        <v>0.08288461538</v>
      </c>
      <c r="E32" s="18">
        <f t="shared" si="71"/>
        <v>0.10775</v>
      </c>
      <c r="F32" s="18">
        <f t="shared" si="71"/>
        <v>0.02072115385</v>
      </c>
      <c r="G32" s="18">
        <f t="shared" si="71"/>
        <v>0.053875</v>
      </c>
      <c r="H32" s="18">
        <f t="shared" si="71"/>
        <v>0.1323076923</v>
      </c>
      <c r="I32" s="18">
        <f t="shared" si="71"/>
        <v>0.04134615385</v>
      </c>
      <c r="J32" s="18">
        <f t="shared" si="71"/>
        <v>0.05375</v>
      </c>
      <c r="K32" s="18">
        <f t="shared" si="71"/>
        <v>0.01033653846</v>
      </c>
      <c r="L32" s="18">
        <f t="shared" si="71"/>
        <v>0.026875</v>
      </c>
      <c r="M32" s="18">
        <f t="shared" si="71"/>
        <v>0.1675284528</v>
      </c>
      <c r="N32" s="18">
        <f t="shared" si="71"/>
        <v>0.0576275</v>
      </c>
      <c r="O32" s="18">
        <f t="shared" si="71"/>
        <v>0.059850972</v>
      </c>
      <c r="P32" s="18">
        <f t="shared" si="71"/>
        <v>0.002282230769</v>
      </c>
      <c r="Q32" s="18">
        <f t="shared" si="71"/>
        <v>0.04776775</v>
      </c>
      <c r="R32" s="18">
        <f t="shared" ref="R32:V32" si="72">C32-M32</f>
        <v>0.09770231646</v>
      </c>
      <c r="S32" s="18">
        <f t="shared" si="72"/>
        <v>0.02525711538</v>
      </c>
      <c r="T32" s="18">
        <f t="shared" si="72"/>
        <v>0.047899028</v>
      </c>
      <c r="U32" s="18">
        <f t="shared" si="72"/>
        <v>0.01843892308</v>
      </c>
      <c r="V32" s="18">
        <f t="shared" si="72"/>
        <v>0.00610725</v>
      </c>
      <c r="W32" s="4">
        <f t="shared" si="4"/>
        <v>124911.4948</v>
      </c>
      <c r="X32" s="4">
        <f t="shared" si="5"/>
        <v>62310.83849</v>
      </c>
      <c r="Y32" s="4">
        <f t="shared" si="6"/>
        <v>78898.19693</v>
      </c>
      <c r="Z32" s="4">
        <f t="shared" si="7"/>
        <v>62600.65635</v>
      </c>
      <c r="AA32" s="42">
        <f t="shared" si="8"/>
        <v>46013.29791</v>
      </c>
      <c r="AB32" s="60">
        <f t="shared" si="65"/>
        <v>0.2808706499</v>
      </c>
    </row>
    <row r="33">
      <c r="A33" s="4">
        <f t="shared" si="66"/>
        <v>2036</v>
      </c>
      <c r="B33" s="42">
        <f>B32+(B32*Indicators!$B$1)</f>
        <v>480373.0921</v>
      </c>
      <c r="C33" s="18">
        <f t="shared" ref="C33:Q33" si="73">C$27+(($A33-$A$27)*((C$47-C$27)/($A$47-$A$27)))</f>
        <v>0.2656</v>
      </c>
      <c r="D33" s="18">
        <f t="shared" si="73"/>
        <v>0.083</v>
      </c>
      <c r="E33" s="18">
        <f t="shared" si="73"/>
        <v>0.1079</v>
      </c>
      <c r="F33" s="18">
        <f t="shared" si="73"/>
        <v>0.02075</v>
      </c>
      <c r="G33" s="18">
        <f t="shared" si="73"/>
        <v>0.05395</v>
      </c>
      <c r="H33" s="18">
        <f t="shared" si="73"/>
        <v>0.1243076923</v>
      </c>
      <c r="I33" s="18">
        <f t="shared" si="73"/>
        <v>0.03884615385</v>
      </c>
      <c r="J33" s="18">
        <f t="shared" si="73"/>
        <v>0.0505</v>
      </c>
      <c r="K33" s="18">
        <f t="shared" si="73"/>
        <v>0.009711538462</v>
      </c>
      <c r="L33" s="18">
        <f t="shared" si="73"/>
        <v>0.02525</v>
      </c>
      <c r="M33" s="18">
        <f t="shared" si="73"/>
        <v>0.1648510102</v>
      </c>
      <c r="N33" s="18">
        <f t="shared" si="73"/>
        <v>0.05655992308</v>
      </c>
      <c r="O33" s="18">
        <f t="shared" si="73"/>
        <v>0.058415864</v>
      </c>
      <c r="P33" s="18">
        <f t="shared" si="73"/>
        <v>0.002333723077</v>
      </c>
      <c r="Q33" s="18">
        <f t="shared" si="73"/>
        <v>0.0475415</v>
      </c>
      <c r="R33" s="18">
        <f t="shared" ref="R33:V33" si="74">C33-M33</f>
        <v>0.1007489898</v>
      </c>
      <c r="S33" s="18">
        <f t="shared" si="74"/>
        <v>0.02644007692</v>
      </c>
      <c r="T33" s="18">
        <f t="shared" si="74"/>
        <v>0.049484136</v>
      </c>
      <c r="U33" s="18">
        <f t="shared" si="74"/>
        <v>0.01841627692</v>
      </c>
      <c r="V33" s="18">
        <f t="shared" si="74"/>
        <v>0.0064085</v>
      </c>
      <c r="W33" s="4">
        <f t="shared" si="4"/>
        <v>127587.0933</v>
      </c>
      <c r="X33" s="4">
        <f t="shared" si="5"/>
        <v>59714.07053</v>
      </c>
      <c r="Y33" s="4">
        <f t="shared" si="6"/>
        <v>79189.98948</v>
      </c>
      <c r="Z33" s="4">
        <f t="shared" si="7"/>
        <v>67873.02274</v>
      </c>
      <c r="AA33" s="42">
        <f t="shared" si="8"/>
        <v>48397.10378</v>
      </c>
      <c r="AB33" s="60">
        <f t="shared" si="65"/>
        <v>0.2954216848</v>
      </c>
    </row>
    <row r="34">
      <c r="A34" s="4">
        <f t="shared" si="66"/>
        <v>2037</v>
      </c>
      <c r="B34" s="42">
        <f>B33+(B33*Indicators!$B$1)</f>
        <v>489980.5539</v>
      </c>
      <c r="C34" s="18">
        <f t="shared" ref="C34:Q34" si="75">C$27+(($A34-$A$27)*((C$47-C$27)/($A$47-$A$27)))</f>
        <v>0.2659692308</v>
      </c>
      <c r="D34" s="18">
        <f t="shared" si="75"/>
        <v>0.08311538462</v>
      </c>
      <c r="E34" s="18">
        <f t="shared" si="75"/>
        <v>0.10805</v>
      </c>
      <c r="F34" s="18">
        <f t="shared" si="75"/>
        <v>0.02077884615</v>
      </c>
      <c r="G34" s="18">
        <f t="shared" si="75"/>
        <v>0.054025</v>
      </c>
      <c r="H34" s="18">
        <f t="shared" si="75"/>
        <v>0.1163076923</v>
      </c>
      <c r="I34" s="18">
        <f t="shared" si="75"/>
        <v>0.03634615385</v>
      </c>
      <c r="J34" s="18">
        <f t="shared" si="75"/>
        <v>0.04725</v>
      </c>
      <c r="K34" s="18">
        <f t="shared" si="75"/>
        <v>0.009086538462</v>
      </c>
      <c r="L34" s="18">
        <f t="shared" si="75"/>
        <v>0.023625</v>
      </c>
      <c r="M34" s="18">
        <f t="shared" si="75"/>
        <v>0.1621735675</v>
      </c>
      <c r="N34" s="18">
        <f t="shared" si="75"/>
        <v>0.05549234615</v>
      </c>
      <c r="O34" s="18">
        <f t="shared" si="75"/>
        <v>0.056980756</v>
      </c>
      <c r="P34" s="18">
        <f t="shared" si="75"/>
        <v>0.002385215385</v>
      </c>
      <c r="Q34" s="18">
        <f t="shared" si="75"/>
        <v>0.04731525</v>
      </c>
      <c r="R34" s="18">
        <f t="shared" ref="R34:V34" si="76">C34-M34</f>
        <v>0.1037956632</v>
      </c>
      <c r="S34" s="18">
        <f t="shared" si="76"/>
        <v>0.02762303846</v>
      </c>
      <c r="T34" s="18">
        <f t="shared" si="76"/>
        <v>0.051069244</v>
      </c>
      <c r="U34" s="18">
        <f t="shared" si="76"/>
        <v>0.01839363077</v>
      </c>
      <c r="V34" s="18">
        <f t="shared" si="76"/>
        <v>0.00670975</v>
      </c>
      <c r="W34" s="4">
        <f t="shared" si="4"/>
        <v>130319.751</v>
      </c>
      <c r="X34" s="4">
        <f t="shared" si="5"/>
        <v>56988.50751</v>
      </c>
      <c r="Y34" s="4">
        <f t="shared" si="6"/>
        <v>79461.89446</v>
      </c>
      <c r="Z34" s="4">
        <f t="shared" si="7"/>
        <v>73331.24352</v>
      </c>
      <c r="AA34" s="42">
        <f t="shared" si="8"/>
        <v>50857.85657</v>
      </c>
      <c r="AB34" s="60">
        <f t="shared" si="65"/>
        <v>0.3104424129</v>
      </c>
    </row>
    <row r="35">
      <c r="A35" s="4">
        <f t="shared" si="66"/>
        <v>2038</v>
      </c>
      <c r="B35" s="42">
        <f>B34+(B34*Indicators!$B$1)</f>
        <v>499780.165</v>
      </c>
      <c r="C35" s="18">
        <f t="shared" ref="C35:Q35" si="77">C$27+(($A35-$A$27)*((C$47-C$27)/($A$47-$A$27)))</f>
        <v>0.2663384615</v>
      </c>
      <c r="D35" s="18">
        <f t="shared" si="77"/>
        <v>0.08323076923</v>
      </c>
      <c r="E35" s="18">
        <f t="shared" si="77"/>
        <v>0.1082</v>
      </c>
      <c r="F35" s="18">
        <f t="shared" si="77"/>
        <v>0.02080769231</v>
      </c>
      <c r="G35" s="18">
        <f t="shared" si="77"/>
        <v>0.0541</v>
      </c>
      <c r="H35" s="18">
        <f t="shared" si="77"/>
        <v>0.1083076923</v>
      </c>
      <c r="I35" s="18">
        <f t="shared" si="77"/>
        <v>0.03384615385</v>
      </c>
      <c r="J35" s="18">
        <f t="shared" si="77"/>
        <v>0.044</v>
      </c>
      <c r="K35" s="18">
        <f t="shared" si="77"/>
        <v>0.008461538462</v>
      </c>
      <c r="L35" s="18">
        <f t="shared" si="77"/>
        <v>0.022</v>
      </c>
      <c r="M35" s="18">
        <f t="shared" si="77"/>
        <v>0.1594961249</v>
      </c>
      <c r="N35" s="18">
        <f t="shared" si="77"/>
        <v>0.05442476923</v>
      </c>
      <c r="O35" s="18">
        <f t="shared" si="77"/>
        <v>0.055545648</v>
      </c>
      <c r="P35" s="18">
        <f t="shared" si="77"/>
        <v>0.002436707692</v>
      </c>
      <c r="Q35" s="18">
        <f t="shared" si="77"/>
        <v>0.047089</v>
      </c>
      <c r="R35" s="18">
        <f t="shared" ref="R35:V35" si="78">C35-M35</f>
        <v>0.1068423366</v>
      </c>
      <c r="S35" s="18">
        <f t="shared" si="78"/>
        <v>0.028806</v>
      </c>
      <c r="T35" s="18">
        <f t="shared" si="78"/>
        <v>0.052654352</v>
      </c>
      <c r="U35" s="18">
        <f t="shared" si="78"/>
        <v>0.01837098462</v>
      </c>
      <c r="V35" s="18">
        <f t="shared" si="78"/>
        <v>0.007011</v>
      </c>
      <c r="W35" s="4">
        <f t="shared" si="4"/>
        <v>133110.6803</v>
      </c>
      <c r="X35" s="4">
        <f t="shared" si="5"/>
        <v>54130.03634</v>
      </c>
      <c r="Y35" s="4">
        <f t="shared" si="6"/>
        <v>79712.99963</v>
      </c>
      <c r="Z35" s="4">
        <f t="shared" si="7"/>
        <v>78980.64393</v>
      </c>
      <c r="AA35" s="42">
        <f t="shared" si="8"/>
        <v>53397.68063</v>
      </c>
      <c r="AB35" s="60">
        <f t="shared" si="65"/>
        <v>0.3259458014</v>
      </c>
    </row>
    <row r="36">
      <c r="A36" s="4">
        <f t="shared" si="66"/>
        <v>2039</v>
      </c>
      <c r="B36" s="42">
        <f>B35+(B35*Indicators!$B$1)</f>
        <v>509775.7683</v>
      </c>
      <c r="C36" s="18">
        <f t="shared" ref="C36:Q36" si="79">C$27+(($A36-$A$27)*((C$47-C$27)/($A$47-$A$27)))</f>
        <v>0.2667076923</v>
      </c>
      <c r="D36" s="18">
        <f t="shared" si="79"/>
        <v>0.08334615385</v>
      </c>
      <c r="E36" s="18">
        <f t="shared" si="79"/>
        <v>0.10835</v>
      </c>
      <c r="F36" s="18">
        <f t="shared" si="79"/>
        <v>0.02083653846</v>
      </c>
      <c r="G36" s="18">
        <f t="shared" si="79"/>
        <v>0.054175</v>
      </c>
      <c r="H36" s="18">
        <f t="shared" si="79"/>
        <v>0.1003076923</v>
      </c>
      <c r="I36" s="18">
        <f t="shared" si="79"/>
        <v>0.03134615385</v>
      </c>
      <c r="J36" s="18">
        <f t="shared" si="79"/>
        <v>0.04075</v>
      </c>
      <c r="K36" s="18">
        <f t="shared" si="79"/>
        <v>0.007836538462</v>
      </c>
      <c r="L36" s="18">
        <f t="shared" si="79"/>
        <v>0.020375</v>
      </c>
      <c r="M36" s="18">
        <f t="shared" si="79"/>
        <v>0.1568186823</v>
      </c>
      <c r="N36" s="18">
        <f t="shared" si="79"/>
        <v>0.05335719231</v>
      </c>
      <c r="O36" s="18">
        <f t="shared" si="79"/>
        <v>0.05411054</v>
      </c>
      <c r="P36" s="18">
        <f t="shared" si="79"/>
        <v>0.0024882</v>
      </c>
      <c r="Q36" s="18">
        <f t="shared" si="79"/>
        <v>0.04686275</v>
      </c>
      <c r="R36" s="18">
        <f t="shared" ref="R36:V36" si="80">C36-M36</f>
        <v>0.10988901</v>
      </c>
      <c r="S36" s="18">
        <f t="shared" si="80"/>
        <v>0.02998896154</v>
      </c>
      <c r="T36" s="18">
        <f t="shared" si="80"/>
        <v>0.05423946</v>
      </c>
      <c r="U36" s="18">
        <f t="shared" si="80"/>
        <v>0.01834833846</v>
      </c>
      <c r="V36" s="18">
        <f t="shared" si="80"/>
        <v>0.00731225</v>
      </c>
      <c r="W36" s="4">
        <f t="shared" si="4"/>
        <v>135961.1188</v>
      </c>
      <c r="X36" s="4">
        <f t="shared" si="5"/>
        <v>51134.43092</v>
      </c>
      <c r="Y36" s="4">
        <f t="shared" si="6"/>
        <v>79942.36426</v>
      </c>
      <c r="Z36" s="4">
        <f t="shared" si="7"/>
        <v>84826.68785</v>
      </c>
      <c r="AA36" s="42">
        <f t="shared" si="8"/>
        <v>56018.7545</v>
      </c>
      <c r="AB36" s="60">
        <f t="shared" si="65"/>
        <v>0.3419451485</v>
      </c>
    </row>
    <row r="37">
      <c r="A37" s="4">
        <f t="shared" si="66"/>
        <v>2040</v>
      </c>
      <c r="B37" s="42">
        <f>B36+(B36*Indicators!$B$1)</f>
        <v>519971.2837</v>
      </c>
      <c r="C37" s="18">
        <f t="shared" ref="C37:Q37" si="81">C$27+(($A37-$A$27)*((C$47-C$27)/($A$47-$A$27)))</f>
        <v>0.2670769231</v>
      </c>
      <c r="D37" s="18">
        <f t="shared" si="81"/>
        <v>0.08346153846</v>
      </c>
      <c r="E37" s="18">
        <f t="shared" si="81"/>
        <v>0.1085</v>
      </c>
      <c r="F37" s="18">
        <f t="shared" si="81"/>
        <v>0.02086538462</v>
      </c>
      <c r="G37" s="18">
        <f t="shared" si="81"/>
        <v>0.05425</v>
      </c>
      <c r="H37" s="18">
        <f t="shared" si="81"/>
        <v>0.09230769231</v>
      </c>
      <c r="I37" s="18">
        <f t="shared" si="81"/>
        <v>0.02884615385</v>
      </c>
      <c r="J37" s="18">
        <f t="shared" si="81"/>
        <v>0.0375</v>
      </c>
      <c r="K37" s="18">
        <f t="shared" si="81"/>
        <v>0.007211538462</v>
      </c>
      <c r="L37" s="18">
        <f t="shared" si="81"/>
        <v>0.01875</v>
      </c>
      <c r="M37" s="18">
        <f t="shared" si="81"/>
        <v>0.1541412397</v>
      </c>
      <c r="N37" s="18">
        <f t="shared" si="81"/>
        <v>0.05228961538</v>
      </c>
      <c r="O37" s="18">
        <f t="shared" si="81"/>
        <v>0.052675432</v>
      </c>
      <c r="P37" s="18">
        <f t="shared" si="81"/>
        <v>0.002539692308</v>
      </c>
      <c r="Q37" s="18">
        <f t="shared" si="81"/>
        <v>0.0466365</v>
      </c>
      <c r="R37" s="18">
        <f t="shared" ref="R37:V37" si="82">C37-M37</f>
        <v>0.1129356834</v>
      </c>
      <c r="S37" s="18">
        <f t="shared" si="82"/>
        <v>0.03117192308</v>
      </c>
      <c r="T37" s="18">
        <f t="shared" si="82"/>
        <v>0.055824568</v>
      </c>
      <c r="U37" s="18">
        <f t="shared" si="82"/>
        <v>0.01832569231</v>
      </c>
      <c r="V37" s="18">
        <f t="shared" si="82"/>
        <v>0.0076135</v>
      </c>
      <c r="W37" s="4">
        <f t="shared" si="4"/>
        <v>138872.3305</v>
      </c>
      <c r="X37" s="4">
        <f t="shared" si="5"/>
        <v>47997.34926</v>
      </c>
      <c r="Y37" s="4">
        <f t="shared" si="6"/>
        <v>80149.01827</v>
      </c>
      <c r="Z37" s="4">
        <f t="shared" si="7"/>
        <v>90874.98127</v>
      </c>
      <c r="AA37" s="42">
        <f t="shared" si="8"/>
        <v>58723.31226</v>
      </c>
      <c r="AB37" s="60">
        <f t="shared" si="65"/>
        <v>0.3584540911</v>
      </c>
    </row>
    <row r="38">
      <c r="A38" s="4">
        <f t="shared" si="66"/>
        <v>2041</v>
      </c>
      <c r="B38" s="42">
        <f>B37+(B37*Indicators!$B$1)</f>
        <v>530370.7094</v>
      </c>
      <c r="C38" s="18">
        <f t="shared" ref="C38:Q38" si="83">C$27+(($A38-$A$27)*((C$47-C$27)/($A$47-$A$27)))</f>
        <v>0.2674461538</v>
      </c>
      <c r="D38" s="18">
        <f t="shared" si="83"/>
        <v>0.08357692308</v>
      </c>
      <c r="E38" s="18">
        <f t="shared" si="83"/>
        <v>0.10865</v>
      </c>
      <c r="F38" s="18">
        <f t="shared" si="83"/>
        <v>0.02089423077</v>
      </c>
      <c r="G38" s="18">
        <f t="shared" si="83"/>
        <v>0.054325</v>
      </c>
      <c r="H38" s="18">
        <f t="shared" si="83"/>
        <v>0.08430769231</v>
      </c>
      <c r="I38" s="18">
        <f t="shared" si="83"/>
        <v>0.02634615385</v>
      </c>
      <c r="J38" s="18">
        <f t="shared" si="83"/>
        <v>0.03425</v>
      </c>
      <c r="K38" s="18">
        <f t="shared" si="83"/>
        <v>0.006586538462</v>
      </c>
      <c r="L38" s="18">
        <f t="shared" si="83"/>
        <v>0.017125</v>
      </c>
      <c r="M38" s="18">
        <f t="shared" si="83"/>
        <v>0.1514637971</v>
      </c>
      <c r="N38" s="18">
        <f t="shared" si="83"/>
        <v>0.05122203846</v>
      </c>
      <c r="O38" s="18">
        <f t="shared" si="83"/>
        <v>0.051240324</v>
      </c>
      <c r="P38" s="18">
        <f t="shared" si="83"/>
        <v>0.002591184615</v>
      </c>
      <c r="Q38" s="18">
        <f t="shared" si="83"/>
        <v>0.04641025</v>
      </c>
      <c r="R38" s="18">
        <f t="shared" ref="R38:V38" si="84">C38-M38</f>
        <v>0.1159823568</v>
      </c>
      <c r="S38" s="18">
        <f t="shared" si="84"/>
        <v>0.03235488462</v>
      </c>
      <c r="T38" s="18">
        <f t="shared" si="84"/>
        <v>0.057409676</v>
      </c>
      <c r="U38" s="18">
        <f t="shared" si="84"/>
        <v>0.01830304615</v>
      </c>
      <c r="V38" s="18">
        <f t="shared" si="84"/>
        <v>0.00791475</v>
      </c>
      <c r="W38" s="4">
        <f t="shared" si="4"/>
        <v>141845.6063</v>
      </c>
      <c r="X38" s="4">
        <f t="shared" si="5"/>
        <v>44714.33057</v>
      </c>
      <c r="Y38" s="4">
        <f t="shared" si="6"/>
        <v>80331.9615</v>
      </c>
      <c r="Z38" s="4">
        <f t="shared" si="7"/>
        <v>97131.27576</v>
      </c>
      <c r="AA38" s="42">
        <f t="shared" si="8"/>
        <v>61513.64483</v>
      </c>
      <c r="AB38" s="60">
        <f t="shared" si="65"/>
        <v>0.3754866134</v>
      </c>
    </row>
    <row r="39">
      <c r="A39" s="4">
        <f t="shared" si="66"/>
        <v>2042</v>
      </c>
      <c r="B39" s="42">
        <f>B38+(B38*Indicators!$B$1)</f>
        <v>540978.1236</v>
      </c>
      <c r="C39" s="18">
        <f t="shared" ref="C39:Q39" si="85">C$27+(($A39-$A$27)*((C$47-C$27)/($A$47-$A$27)))</f>
        <v>0.2678153846</v>
      </c>
      <c r="D39" s="18">
        <f t="shared" si="85"/>
        <v>0.08369230769</v>
      </c>
      <c r="E39" s="18">
        <f t="shared" si="85"/>
        <v>0.1088</v>
      </c>
      <c r="F39" s="18">
        <f t="shared" si="85"/>
        <v>0.02092307692</v>
      </c>
      <c r="G39" s="18">
        <f t="shared" si="85"/>
        <v>0.0544</v>
      </c>
      <c r="H39" s="18">
        <f t="shared" si="85"/>
        <v>0.07630769231</v>
      </c>
      <c r="I39" s="18">
        <f t="shared" si="85"/>
        <v>0.02384615385</v>
      </c>
      <c r="J39" s="18">
        <f t="shared" si="85"/>
        <v>0.031</v>
      </c>
      <c r="K39" s="18">
        <f t="shared" si="85"/>
        <v>0.005961538462</v>
      </c>
      <c r="L39" s="18">
        <f t="shared" si="85"/>
        <v>0.0155</v>
      </c>
      <c r="M39" s="18">
        <f t="shared" si="85"/>
        <v>0.1487863545</v>
      </c>
      <c r="N39" s="18">
        <f t="shared" si="85"/>
        <v>0.05015446154</v>
      </c>
      <c r="O39" s="18">
        <f t="shared" si="85"/>
        <v>0.049805216</v>
      </c>
      <c r="P39" s="18">
        <f t="shared" si="85"/>
        <v>0.002642676923</v>
      </c>
      <c r="Q39" s="18">
        <f t="shared" si="85"/>
        <v>0.046184</v>
      </c>
      <c r="R39" s="18">
        <f t="shared" ref="R39:V39" si="86">C39-M39</f>
        <v>0.1190290302</v>
      </c>
      <c r="S39" s="18">
        <f t="shared" si="86"/>
        <v>0.03353784615</v>
      </c>
      <c r="T39" s="18">
        <f t="shared" si="86"/>
        <v>0.058994784</v>
      </c>
      <c r="U39" s="18">
        <f t="shared" si="86"/>
        <v>0.0182804</v>
      </c>
      <c r="V39" s="18">
        <f t="shared" si="86"/>
        <v>0.008216</v>
      </c>
      <c r="W39" s="4">
        <f t="shared" si="4"/>
        <v>144882.2642</v>
      </c>
      <c r="X39" s="4">
        <f t="shared" si="5"/>
        <v>41280.7922</v>
      </c>
      <c r="Y39" s="4">
        <f t="shared" si="6"/>
        <v>80490.16285</v>
      </c>
      <c r="Z39" s="4">
        <f t="shared" si="7"/>
        <v>103601.472</v>
      </c>
      <c r="AA39" s="42">
        <f t="shared" si="8"/>
        <v>64392.10138</v>
      </c>
      <c r="AB39" s="60">
        <f t="shared" si="65"/>
        <v>0.393057055</v>
      </c>
    </row>
    <row r="40">
      <c r="A40" s="4">
        <f t="shared" si="66"/>
        <v>2043</v>
      </c>
      <c r="B40" s="42">
        <f>B39+(B39*Indicators!$B$1)</f>
        <v>551797.686</v>
      </c>
      <c r="C40" s="18">
        <f t="shared" ref="C40:Q40" si="87">C$27+(($A40-$A$27)*((C$47-C$27)/($A$47-$A$27)))</f>
        <v>0.2681846154</v>
      </c>
      <c r="D40" s="18">
        <f t="shared" si="87"/>
        <v>0.08380769231</v>
      </c>
      <c r="E40" s="18">
        <f t="shared" si="87"/>
        <v>0.10895</v>
      </c>
      <c r="F40" s="18">
        <f t="shared" si="87"/>
        <v>0.02095192308</v>
      </c>
      <c r="G40" s="18">
        <f t="shared" si="87"/>
        <v>0.054475</v>
      </c>
      <c r="H40" s="18">
        <f t="shared" si="87"/>
        <v>0.06830769231</v>
      </c>
      <c r="I40" s="18">
        <f t="shared" si="87"/>
        <v>0.02134615385</v>
      </c>
      <c r="J40" s="18">
        <f t="shared" si="87"/>
        <v>0.02775</v>
      </c>
      <c r="K40" s="18">
        <f t="shared" si="87"/>
        <v>0.005336538462</v>
      </c>
      <c r="L40" s="18">
        <f t="shared" si="87"/>
        <v>0.013875</v>
      </c>
      <c r="M40" s="18">
        <f t="shared" si="87"/>
        <v>0.1461089118</v>
      </c>
      <c r="N40" s="18">
        <f t="shared" si="87"/>
        <v>0.04908688462</v>
      </c>
      <c r="O40" s="18">
        <f t="shared" si="87"/>
        <v>0.048370108</v>
      </c>
      <c r="P40" s="18">
        <f t="shared" si="87"/>
        <v>0.002694169231</v>
      </c>
      <c r="Q40" s="18">
        <f t="shared" si="87"/>
        <v>0.04595775</v>
      </c>
      <c r="R40" s="18">
        <f t="shared" ref="R40:V40" si="88">C40-M40</f>
        <v>0.1220757035</v>
      </c>
      <c r="S40" s="18">
        <f t="shared" si="88"/>
        <v>0.03472080769</v>
      </c>
      <c r="T40" s="18">
        <f t="shared" si="88"/>
        <v>0.060579892</v>
      </c>
      <c r="U40" s="18">
        <f t="shared" si="88"/>
        <v>0.01825775385</v>
      </c>
      <c r="V40" s="18">
        <f t="shared" si="88"/>
        <v>0.00851725</v>
      </c>
      <c r="W40" s="4">
        <f t="shared" si="4"/>
        <v>147983.6502</v>
      </c>
      <c r="X40" s="4">
        <f t="shared" si="5"/>
        <v>37692.02655</v>
      </c>
      <c r="Y40" s="4">
        <f t="shared" si="6"/>
        <v>80622.55946</v>
      </c>
      <c r="Z40" s="4">
        <f t="shared" si="7"/>
        <v>110291.6236</v>
      </c>
      <c r="AA40" s="42">
        <f t="shared" si="8"/>
        <v>67361.09073</v>
      </c>
      <c r="AB40" s="60">
        <f t="shared" si="65"/>
        <v>0.4111801195</v>
      </c>
    </row>
    <row r="41">
      <c r="A41" s="4">
        <f t="shared" si="66"/>
        <v>2044</v>
      </c>
      <c r="B41" s="42">
        <f>B40+(B40*Indicators!$B$1)</f>
        <v>562833.6397</v>
      </c>
      <c r="C41" s="18">
        <f t="shared" ref="C41:Q41" si="89">C$27+(($A41-$A$27)*((C$47-C$27)/($A$47-$A$27)))</f>
        <v>0.2685538462</v>
      </c>
      <c r="D41" s="18">
        <f t="shared" si="89"/>
        <v>0.08392307692</v>
      </c>
      <c r="E41" s="18">
        <f t="shared" si="89"/>
        <v>0.1091</v>
      </c>
      <c r="F41" s="18">
        <f t="shared" si="89"/>
        <v>0.02098076923</v>
      </c>
      <c r="G41" s="18">
        <f t="shared" si="89"/>
        <v>0.05455</v>
      </c>
      <c r="H41" s="18">
        <f t="shared" si="89"/>
        <v>0.06030769231</v>
      </c>
      <c r="I41" s="18">
        <f t="shared" si="89"/>
        <v>0.01884615385</v>
      </c>
      <c r="J41" s="18">
        <f t="shared" si="89"/>
        <v>0.0245</v>
      </c>
      <c r="K41" s="18">
        <f t="shared" si="89"/>
        <v>0.004711538462</v>
      </c>
      <c r="L41" s="18">
        <f t="shared" si="89"/>
        <v>0.01225</v>
      </c>
      <c r="M41" s="18">
        <f t="shared" si="89"/>
        <v>0.1434314692</v>
      </c>
      <c r="N41" s="18">
        <f t="shared" si="89"/>
        <v>0.04801930769</v>
      </c>
      <c r="O41" s="18">
        <f t="shared" si="89"/>
        <v>0.046935</v>
      </c>
      <c r="P41" s="18">
        <f t="shared" si="89"/>
        <v>0.002745661538</v>
      </c>
      <c r="Q41" s="18">
        <f t="shared" si="89"/>
        <v>0.0457315</v>
      </c>
      <c r="R41" s="18">
        <f t="shared" ref="R41:V41" si="90">C41-M41</f>
        <v>0.1251223769</v>
      </c>
      <c r="S41" s="18">
        <f t="shared" si="90"/>
        <v>0.03590376923</v>
      </c>
      <c r="T41" s="18">
        <f t="shared" si="90"/>
        <v>0.062165</v>
      </c>
      <c r="U41" s="18">
        <f t="shared" si="90"/>
        <v>0.01823510769</v>
      </c>
      <c r="V41" s="18">
        <f t="shared" si="90"/>
        <v>0.0088185</v>
      </c>
      <c r="W41" s="4">
        <f t="shared" si="4"/>
        <v>151151.1387</v>
      </c>
      <c r="X41" s="4">
        <f t="shared" si="5"/>
        <v>33943.19797</v>
      </c>
      <c r="Y41" s="4">
        <f t="shared" si="6"/>
        <v>80728.05588</v>
      </c>
      <c r="Z41" s="4">
        <f t="shared" si="7"/>
        <v>117207.9407</v>
      </c>
      <c r="AA41" s="42">
        <f t="shared" si="8"/>
        <v>70423.08282</v>
      </c>
      <c r="AB41" s="60">
        <f t="shared" si="65"/>
        <v>0.4298708838</v>
      </c>
    </row>
    <row r="42">
      <c r="A42" s="4">
        <f t="shared" si="66"/>
        <v>2045</v>
      </c>
      <c r="B42" s="42">
        <f>B41+(B41*Indicators!$B$1)</f>
        <v>574090.3125</v>
      </c>
      <c r="C42" s="18">
        <f t="shared" ref="C42:Q42" si="91">C$27+(($A42-$A$27)*((C$47-C$27)/($A$47-$A$27)))</f>
        <v>0.2689230769</v>
      </c>
      <c r="D42" s="18">
        <f t="shared" si="91"/>
        <v>0.08403846154</v>
      </c>
      <c r="E42" s="18">
        <f t="shared" si="91"/>
        <v>0.10925</v>
      </c>
      <c r="F42" s="18">
        <f t="shared" si="91"/>
        <v>0.02100961538</v>
      </c>
      <c r="G42" s="18">
        <f t="shared" si="91"/>
        <v>0.054625</v>
      </c>
      <c r="H42" s="18">
        <f t="shared" si="91"/>
        <v>0.05230769231</v>
      </c>
      <c r="I42" s="18">
        <f t="shared" si="91"/>
        <v>0.01634615385</v>
      </c>
      <c r="J42" s="18">
        <f t="shared" si="91"/>
        <v>0.02125</v>
      </c>
      <c r="K42" s="18">
        <f t="shared" si="91"/>
        <v>0.004086538462</v>
      </c>
      <c r="L42" s="18">
        <f t="shared" si="91"/>
        <v>0.010625</v>
      </c>
      <c r="M42" s="18">
        <f t="shared" si="91"/>
        <v>0.1407540266</v>
      </c>
      <c r="N42" s="18">
        <f t="shared" si="91"/>
        <v>0.04695173077</v>
      </c>
      <c r="O42" s="18">
        <f t="shared" si="91"/>
        <v>0.045499892</v>
      </c>
      <c r="P42" s="18">
        <f t="shared" si="91"/>
        <v>0.002797153846</v>
      </c>
      <c r="Q42" s="18">
        <f t="shared" si="91"/>
        <v>0.04550525</v>
      </c>
      <c r="R42" s="18">
        <f t="shared" ref="R42:V42" si="92">C42-M42</f>
        <v>0.1281690503</v>
      </c>
      <c r="S42" s="18">
        <f t="shared" si="92"/>
        <v>0.03708673077</v>
      </c>
      <c r="T42" s="18">
        <f t="shared" si="92"/>
        <v>0.063750108</v>
      </c>
      <c r="U42" s="18">
        <f t="shared" si="92"/>
        <v>0.01821246154</v>
      </c>
      <c r="V42" s="18">
        <f t="shared" si="92"/>
        <v>0.00911975</v>
      </c>
      <c r="W42" s="4">
        <f t="shared" si="4"/>
        <v>154386.1333</v>
      </c>
      <c r="X42" s="4">
        <f t="shared" si="5"/>
        <v>30029.33943</v>
      </c>
      <c r="Y42" s="4">
        <f t="shared" si="6"/>
        <v>80805.52313</v>
      </c>
      <c r="Z42" s="4">
        <f t="shared" si="7"/>
        <v>124356.7939</v>
      </c>
      <c r="AA42" s="42">
        <f t="shared" si="8"/>
        <v>73580.61015</v>
      </c>
      <c r="AB42" s="60">
        <f t="shared" si="65"/>
        <v>0.4491448067</v>
      </c>
    </row>
    <row r="43">
      <c r="A43" s="4">
        <f t="shared" si="66"/>
        <v>2046</v>
      </c>
      <c r="B43" s="42">
        <f>B42+(B42*Indicators!$B$1)</f>
        <v>585572.1188</v>
      </c>
      <c r="C43" s="18">
        <f t="shared" ref="C43:Q43" si="93">C$27+(($A43-$A$27)*((C$47-C$27)/($A$47-$A$27)))</f>
        <v>0.2692923077</v>
      </c>
      <c r="D43" s="18">
        <f t="shared" si="93"/>
        <v>0.08415384615</v>
      </c>
      <c r="E43" s="18">
        <f t="shared" si="93"/>
        <v>0.1094</v>
      </c>
      <c r="F43" s="18">
        <f t="shared" si="93"/>
        <v>0.02103846154</v>
      </c>
      <c r="G43" s="18">
        <f t="shared" si="93"/>
        <v>0.0547</v>
      </c>
      <c r="H43" s="18">
        <f t="shared" si="93"/>
        <v>0.04430769231</v>
      </c>
      <c r="I43" s="18">
        <f t="shared" si="93"/>
        <v>0.01384615385</v>
      </c>
      <c r="J43" s="18">
        <f t="shared" si="93"/>
        <v>0.018</v>
      </c>
      <c r="K43" s="18">
        <f t="shared" si="93"/>
        <v>0.003461538462</v>
      </c>
      <c r="L43" s="18">
        <f t="shared" si="93"/>
        <v>0.009</v>
      </c>
      <c r="M43" s="18">
        <f t="shared" si="93"/>
        <v>0.138076584</v>
      </c>
      <c r="N43" s="18">
        <f t="shared" si="93"/>
        <v>0.04588415385</v>
      </c>
      <c r="O43" s="18">
        <f t="shared" si="93"/>
        <v>0.044064784</v>
      </c>
      <c r="P43" s="18">
        <f t="shared" si="93"/>
        <v>0.002848646154</v>
      </c>
      <c r="Q43" s="18">
        <f t="shared" si="93"/>
        <v>0.045279</v>
      </c>
      <c r="R43" s="18">
        <f t="shared" ref="R43:V43" si="94">C43-M43</f>
        <v>0.1312157237</v>
      </c>
      <c r="S43" s="18">
        <f t="shared" si="94"/>
        <v>0.03826969231</v>
      </c>
      <c r="T43" s="18">
        <f t="shared" si="94"/>
        <v>0.065335216</v>
      </c>
      <c r="U43" s="18">
        <f t="shared" si="94"/>
        <v>0.01818981538</v>
      </c>
      <c r="V43" s="18">
        <f t="shared" si="94"/>
        <v>0.009421</v>
      </c>
      <c r="W43" s="4">
        <f t="shared" si="4"/>
        <v>157690.0672</v>
      </c>
      <c r="X43" s="4">
        <f t="shared" si="5"/>
        <v>25945.34926</v>
      </c>
      <c r="Y43" s="4">
        <f t="shared" si="6"/>
        <v>80853.79785</v>
      </c>
      <c r="Z43" s="4">
        <f t="shared" si="7"/>
        <v>131744.7179</v>
      </c>
      <c r="AA43" s="42">
        <f t="shared" si="8"/>
        <v>76836.26934</v>
      </c>
      <c r="AB43" s="60">
        <f t="shared" si="65"/>
        <v>0.4690177381</v>
      </c>
    </row>
    <row r="44">
      <c r="A44" s="4">
        <f t="shared" si="66"/>
        <v>2047</v>
      </c>
      <c r="B44" s="42">
        <f>B43+(B43*Indicators!$B$1)</f>
        <v>597283.5612</v>
      </c>
      <c r="C44" s="18">
        <f t="shared" ref="C44:Q44" si="95">C$27+(($A44-$A$27)*((C$47-C$27)/($A$47-$A$27)))</f>
        <v>0.2696615385</v>
      </c>
      <c r="D44" s="18">
        <f t="shared" si="95"/>
        <v>0.08426923077</v>
      </c>
      <c r="E44" s="18">
        <f t="shared" si="95"/>
        <v>0.10955</v>
      </c>
      <c r="F44" s="18">
        <f t="shared" si="95"/>
        <v>0.02106730769</v>
      </c>
      <c r="G44" s="18">
        <f t="shared" si="95"/>
        <v>0.054775</v>
      </c>
      <c r="H44" s="18">
        <f t="shared" si="95"/>
        <v>0.03630769231</v>
      </c>
      <c r="I44" s="18">
        <f t="shared" si="95"/>
        <v>0.01134615385</v>
      </c>
      <c r="J44" s="18">
        <f t="shared" si="95"/>
        <v>0.01475</v>
      </c>
      <c r="K44" s="18">
        <f t="shared" si="95"/>
        <v>0.002836538462</v>
      </c>
      <c r="L44" s="18">
        <f t="shared" si="95"/>
        <v>0.007375</v>
      </c>
      <c r="M44" s="18">
        <f t="shared" si="95"/>
        <v>0.1353991414</v>
      </c>
      <c r="N44" s="18">
        <f t="shared" si="95"/>
        <v>0.04481657692</v>
      </c>
      <c r="O44" s="18">
        <f t="shared" si="95"/>
        <v>0.042629676</v>
      </c>
      <c r="P44" s="18">
        <f t="shared" si="95"/>
        <v>0.002900138462</v>
      </c>
      <c r="Q44" s="18">
        <f t="shared" si="95"/>
        <v>0.04505275</v>
      </c>
      <c r="R44" s="18">
        <f t="shared" ref="R44:V44" si="96">C44-M44</f>
        <v>0.1342623971</v>
      </c>
      <c r="S44" s="18">
        <f t="shared" si="96"/>
        <v>0.03945265385</v>
      </c>
      <c r="T44" s="18">
        <f t="shared" si="96"/>
        <v>0.066920324</v>
      </c>
      <c r="U44" s="18">
        <f t="shared" si="96"/>
        <v>0.01816716923</v>
      </c>
      <c r="V44" s="18">
        <f t="shared" si="96"/>
        <v>0.00972225</v>
      </c>
      <c r="W44" s="4">
        <f t="shared" si="4"/>
        <v>161064.404</v>
      </c>
      <c r="X44" s="4">
        <f t="shared" si="5"/>
        <v>21685.98776</v>
      </c>
      <c r="Y44" s="4">
        <f t="shared" si="6"/>
        <v>80871.68135</v>
      </c>
      <c r="Z44" s="4">
        <f t="shared" si="7"/>
        <v>139378.4162</v>
      </c>
      <c r="AA44" s="42">
        <f t="shared" si="8"/>
        <v>80192.72266</v>
      </c>
      <c r="AB44" s="60">
        <f t="shared" si="65"/>
        <v>0.4895059288</v>
      </c>
    </row>
    <row r="45">
      <c r="A45" s="4">
        <f t="shared" si="66"/>
        <v>2048</v>
      </c>
      <c r="B45" s="42">
        <f>B44+(B44*Indicators!$B$1)</f>
        <v>609229.2324</v>
      </c>
      <c r="C45" s="18">
        <f t="shared" ref="C45:Q45" si="97">C$27+(($A45-$A$27)*((C$47-C$27)/($A$47-$A$27)))</f>
        <v>0.2700307692</v>
      </c>
      <c r="D45" s="18">
        <f t="shared" si="97"/>
        <v>0.08438461538</v>
      </c>
      <c r="E45" s="18">
        <f t="shared" si="97"/>
        <v>0.1097</v>
      </c>
      <c r="F45" s="18">
        <f t="shared" si="97"/>
        <v>0.02109615385</v>
      </c>
      <c r="G45" s="18">
        <f t="shared" si="97"/>
        <v>0.05485</v>
      </c>
      <c r="H45" s="18">
        <f t="shared" si="97"/>
        <v>0.02830769231</v>
      </c>
      <c r="I45" s="18">
        <f t="shared" si="97"/>
        <v>0.008846153846</v>
      </c>
      <c r="J45" s="18">
        <f t="shared" si="97"/>
        <v>0.0115</v>
      </c>
      <c r="K45" s="18">
        <f t="shared" si="97"/>
        <v>0.002211538462</v>
      </c>
      <c r="L45" s="18">
        <f t="shared" si="97"/>
        <v>0.00575</v>
      </c>
      <c r="M45" s="18">
        <f t="shared" si="97"/>
        <v>0.1327216988</v>
      </c>
      <c r="N45" s="18">
        <f t="shared" si="97"/>
        <v>0.043749</v>
      </c>
      <c r="O45" s="18">
        <f t="shared" si="97"/>
        <v>0.041194568</v>
      </c>
      <c r="P45" s="18">
        <f t="shared" si="97"/>
        <v>0.002951630769</v>
      </c>
      <c r="Q45" s="18">
        <f t="shared" si="97"/>
        <v>0.0448265</v>
      </c>
      <c r="R45" s="18">
        <f t="shared" ref="R45:V45" si="98">C45-M45</f>
        <v>0.1373090705</v>
      </c>
      <c r="S45" s="18">
        <f t="shared" si="98"/>
        <v>0.04063561538</v>
      </c>
      <c r="T45" s="18">
        <f t="shared" si="98"/>
        <v>0.068505432</v>
      </c>
      <c r="U45" s="18">
        <f t="shared" si="98"/>
        <v>0.01814452308</v>
      </c>
      <c r="V45" s="18">
        <f t="shared" si="98"/>
        <v>0.0100235</v>
      </c>
      <c r="W45" s="4">
        <f t="shared" si="4"/>
        <v>164510.6383</v>
      </c>
      <c r="X45" s="4">
        <f t="shared" si="5"/>
        <v>17245.87366</v>
      </c>
      <c r="Y45" s="4">
        <f t="shared" si="6"/>
        <v>80857.93866</v>
      </c>
      <c r="Z45" s="4">
        <f t="shared" si="7"/>
        <v>147264.7646</v>
      </c>
      <c r="AA45" s="42">
        <f t="shared" si="8"/>
        <v>83652.6996</v>
      </c>
      <c r="AB45" s="60">
        <f t="shared" si="65"/>
        <v>0.5106260401</v>
      </c>
    </row>
    <row r="46">
      <c r="A46" s="4">
        <f t="shared" si="66"/>
        <v>2049</v>
      </c>
      <c r="B46" s="42">
        <f>B45+(B45*Indicators!$B$1)</f>
        <v>621413.817</v>
      </c>
      <c r="C46" s="18">
        <f t="shared" ref="C46:Q46" si="99">C$27+(($A46-$A$27)*((C$47-C$27)/($A$47-$A$27)))</f>
        <v>0.2704</v>
      </c>
      <c r="D46" s="18">
        <f t="shared" si="99"/>
        <v>0.0845</v>
      </c>
      <c r="E46" s="18">
        <f t="shared" si="99"/>
        <v>0.10985</v>
      </c>
      <c r="F46" s="18">
        <f t="shared" si="99"/>
        <v>0.021125</v>
      </c>
      <c r="G46" s="18">
        <f t="shared" si="99"/>
        <v>0.054925</v>
      </c>
      <c r="H46" s="18">
        <f t="shared" si="99"/>
        <v>0.02030769231</v>
      </c>
      <c r="I46" s="18">
        <f t="shared" si="99"/>
        <v>0.006346153846</v>
      </c>
      <c r="J46" s="18">
        <f t="shared" si="99"/>
        <v>0.00825</v>
      </c>
      <c r="K46" s="18">
        <f t="shared" si="99"/>
        <v>0.001586538462</v>
      </c>
      <c r="L46" s="18">
        <f t="shared" si="99"/>
        <v>0.004125</v>
      </c>
      <c r="M46" s="18">
        <f t="shared" si="99"/>
        <v>0.1300442562</v>
      </c>
      <c r="N46" s="18">
        <f t="shared" si="99"/>
        <v>0.04268142308</v>
      </c>
      <c r="O46" s="18">
        <f t="shared" si="99"/>
        <v>0.03975946</v>
      </c>
      <c r="P46" s="18">
        <f t="shared" si="99"/>
        <v>0.003003123077</v>
      </c>
      <c r="Q46" s="18">
        <f t="shared" si="99"/>
        <v>0.04460025</v>
      </c>
      <c r="R46" s="18">
        <f t="shared" ref="R46:V46" si="100">C46-M46</f>
        <v>0.1403557438</v>
      </c>
      <c r="S46" s="18">
        <f t="shared" si="100"/>
        <v>0.04181857692</v>
      </c>
      <c r="T46" s="18">
        <f t="shared" si="100"/>
        <v>0.07009054</v>
      </c>
      <c r="U46" s="18">
        <f t="shared" si="100"/>
        <v>0.01812187692</v>
      </c>
      <c r="V46" s="18">
        <f t="shared" si="100"/>
        <v>0.01032475</v>
      </c>
      <c r="W46" s="4">
        <f t="shared" si="4"/>
        <v>168030.2961</v>
      </c>
      <c r="X46" s="4">
        <f t="shared" si="5"/>
        <v>12619.48059</v>
      </c>
      <c r="Y46" s="4">
        <f t="shared" si="6"/>
        <v>80811.2976</v>
      </c>
      <c r="Z46" s="4">
        <f t="shared" si="7"/>
        <v>155410.8155</v>
      </c>
      <c r="AA46" s="42">
        <f t="shared" si="8"/>
        <v>87218.99853</v>
      </c>
      <c r="AB46" s="60">
        <f t="shared" si="65"/>
        <v>0.5323951535</v>
      </c>
    </row>
    <row r="47">
      <c r="A47" s="125">
        <f t="array" ref="A47:G47">Indicators!A12:G12</f>
        <v>2050</v>
      </c>
      <c r="B47" s="126">
        <v>633842.0933783499</v>
      </c>
      <c r="C47" s="127">
        <v>0.2707692307692308</v>
      </c>
      <c r="D47" s="127">
        <v>0.08461538461538462</v>
      </c>
      <c r="E47" s="127">
        <v>0.11000000000000001</v>
      </c>
      <c r="F47" s="127">
        <v>0.021153846153846155</v>
      </c>
      <c r="G47" s="127">
        <v>0.05500000000000001</v>
      </c>
      <c r="H47" s="127">
        <f>sum(I47:L47)</f>
        <v>0.01230769231</v>
      </c>
      <c r="I47" s="127">
        <f t="array" ref="I47:L47">Indicators!I12:L12</f>
        <v>0.003846153846</v>
      </c>
      <c r="J47" s="127">
        <v>0.0050000000000000044</v>
      </c>
      <c r="K47" s="127">
        <v>9.615384615384616E-4</v>
      </c>
      <c r="L47" s="127">
        <v>0.0025000000000000022</v>
      </c>
      <c r="M47" s="127">
        <f>sum(N47:Q47)</f>
        <v>0.1273668135</v>
      </c>
      <c r="N47" s="127">
        <f t="array" ref="N47:Q47">Indicators!N12:Q12</f>
        <v>0.04161384615</v>
      </c>
      <c r="O47" s="127">
        <v>0.038324352000000006</v>
      </c>
      <c r="P47" s="127">
        <v>0.003054615384615385</v>
      </c>
      <c r="Q47" s="127">
        <v>0.044374000000000004</v>
      </c>
      <c r="R47" s="127">
        <f t="shared" ref="R47:V47" si="101">C47-M47</f>
        <v>0.1434024172</v>
      </c>
      <c r="S47" s="127">
        <f t="shared" si="101"/>
        <v>0.04300153846</v>
      </c>
      <c r="T47" s="127">
        <f t="shared" si="101"/>
        <v>0.071675648</v>
      </c>
      <c r="U47" s="127">
        <f t="shared" si="101"/>
        <v>0.01809923077</v>
      </c>
      <c r="V47" s="127">
        <f t="shared" si="101"/>
        <v>0.010626</v>
      </c>
      <c r="W47" s="125">
        <f t="shared" si="4"/>
        <v>171624.9361</v>
      </c>
      <c r="X47" s="125">
        <f t="shared" si="5"/>
        <v>7801.133457</v>
      </c>
      <c r="Y47" s="125">
        <f t="shared" si="6"/>
        <v>80730.44772</v>
      </c>
      <c r="Z47" s="125">
        <f t="shared" si="7"/>
        <v>163823.8026</v>
      </c>
      <c r="AA47" s="126">
        <f t="shared" si="8"/>
        <v>90894.48833</v>
      </c>
      <c r="AB47" s="60">
        <f t="shared" si="65"/>
        <v>0.554830781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2" max="2" width="22.88"/>
    <col customWidth="1" min="3" max="3" width="16.0"/>
    <col customWidth="1" min="4" max="4" width="13.75"/>
    <col customWidth="1" min="5" max="5" width="19.13"/>
    <col customWidth="1" min="6" max="6" width="21.0"/>
    <col customWidth="1" min="7" max="7" width="8.5"/>
    <col customWidth="1" min="8" max="8" width="9.63"/>
    <col customWidth="1" min="9" max="9" width="18.38"/>
    <col customWidth="1" min="10" max="10" width="16.38"/>
  </cols>
  <sheetData>
    <row r="1">
      <c r="A1" s="65" t="s">
        <v>142</v>
      </c>
      <c r="C1" s="66" t="s">
        <v>143</v>
      </c>
      <c r="E1" s="66" t="s">
        <v>144</v>
      </c>
      <c r="F1" s="65" t="s">
        <v>145</v>
      </c>
      <c r="G1" s="67"/>
      <c r="H1" s="67"/>
      <c r="I1" s="68"/>
      <c r="J1" s="69"/>
    </row>
    <row r="2">
      <c r="A2" s="70">
        <f>B34</f>
        <v>29200</v>
      </c>
      <c r="B2" s="71" t="s">
        <v>97</v>
      </c>
      <c r="C2" s="72">
        <v>0.014</v>
      </c>
      <c r="D2" s="73" t="s">
        <v>146</v>
      </c>
      <c r="E2" s="74">
        <v>0.3</v>
      </c>
      <c r="F2" s="74">
        <v>0.14</v>
      </c>
      <c r="G2" s="67"/>
      <c r="H2" s="67"/>
      <c r="J2" s="69"/>
    </row>
    <row r="14" ht="38.25" customHeight="1"/>
    <row r="15">
      <c r="A15" s="67"/>
      <c r="B15" s="67"/>
      <c r="C15" s="67"/>
      <c r="D15" s="67"/>
      <c r="E15" s="67"/>
      <c r="F15" s="67"/>
      <c r="G15" s="67"/>
      <c r="H15" s="67"/>
      <c r="I15" s="67"/>
    </row>
    <row r="16">
      <c r="A16" s="67"/>
      <c r="B16" s="67"/>
      <c r="C16" s="67"/>
      <c r="D16" s="67"/>
      <c r="E16" s="67"/>
      <c r="F16" s="67"/>
      <c r="G16" s="67"/>
      <c r="H16" s="67"/>
      <c r="I16" s="67"/>
    </row>
    <row r="17" ht="54.0" customHeight="1">
      <c r="A17" s="75" t="s">
        <v>2</v>
      </c>
      <c r="B17" s="76" t="s">
        <v>147</v>
      </c>
      <c r="C17" s="76" t="s">
        <v>148</v>
      </c>
      <c r="D17" s="76" t="s">
        <v>122</v>
      </c>
      <c r="E17" s="76" t="s">
        <v>106</v>
      </c>
      <c r="F17" s="76" t="s">
        <v>125</v>
      </c>
      <c r="G17" s="76" t="s">
        <v>149</v>
      </c>
      <c r="H17" s="76" t="s">
        <v>102</v>
      </c>
      <c r="I17" s="76" t="s">
        <v>15</v>
      </c>
    </row>
    <row r="18">
      <c r="A18" s="77">
        <f t="array" ref="A18:A1016">FormYear!C2:C1000</f>
        <v>2005</v>
      </c>
      <c r="B18" s="78">
        <f t="array" ref="B18:B1016">FormYear!I2:I1000</f>
        <v>31200</v>
      </c>
      <c r="C18" s="78">
        <f t="array" ref="C18:C1016">FormYear!E2:E1000</f>
        <v>10000</v>
      </c>
      <c r="D18" s="78">
        <f t="array" ref="D18:D1016">FormYear!F2:F1000</f>
        <v>14000</v>
      </c>
      <c r="E18" s="78">
        <f t="array" ref="E18:E1016">FormYear!G2:G1000</f>
        <v>3000</v>
      </c>
      <c r="F18" s="78">
        <f t="array" ref="F18:F1016">FormYear!H2:H1000</f>
        <v>4200</v>
      </c>
      <c r="G18" s="79">
        <f t="array" ref="G18:G34">'Times Series'!W2:W18</f>
        <v>64000</v>
      </c>
      <c r="H18" s="80">
        <f t="array" ref="H18:H34">'Times Series'!X2:X18</f>
        <v>64000</v>
      </c>
      <c r="I18" s="45" t="str">
        <f>HYPERLINK(CONCATENATE("https://www.jotform.com/edit/",FormYear!O2),"Edit")</f>
        <v>Edit</v>
      </c>
    </row>
    <row r="19">
      <c r="A19" s="77">
        <v>2006.0</v>
      </c>
      <c r="B19" s="77">
        <v>32700.0</v>
      </c>
      <c r="C19" s="77">
        <v>11000.0</v>
      </c>
      <c r="D19" s="77">
        <v>14200.0</v>
      </c>
      <c r="E19" s="77">
        <v>3300.0</v>
      </c>
      <c r="F19" s="77">
        <v>4200.0</v>
      </c>
      <c r="G19" s="81">
        <v>65462.78400000001</v>
      </c>
      <c r="H19" s="82">
        <v>64496.64000000001</v>
      </c>
      <c r="I19" s="45" t="str">
        <f>HYPERLINK(CONCATENATE("https://www.jotform.com/edit/",FormYear!O3),"Edit")</f>
        <v>Edit</v>
      </c>
    </row>
    <row r="20">
      <c r="A20" s="77">
        <v>2007.0</v>
      </c>
      <c r="B20" s="77">
        <v>40200.0</v>
      </c>
      <c r="C20" s="77">
        <v>16000.0</v>
      </c>
      <c r="D20" s="77">
        <v>15000.0</v>
      </c>
      <c r="E20" s="77">
        <v>4000.0</v>
      </c>
      <c r="F20" s="77">
        <v>5200.0</v>
      </c>
      <c r="G20" s="81">
        <v>66958.47936000001</v>
      </c>
      <c r="H20" s="82">
        <v>64987.545600000005</v>
      </c>
      <c r="I20" s="45" t="str">
        <f>HYPERLINK(CONCATENATE("https://www.jotform.com/edit/",FormYear!O4),"Edit")</f>
        <v>Edit</v>
      </c>
    </row>
    <row r="21">
      <c r="A21" s="77">
        <v>2008.0</v>
      </c>
      <c r="B21" s="77">
        <v>34800.0</v>
      </c>
      <c r="C21" s="77">
        <v>12000.0</v>
      </c>
      <c r="D21" s="77">
        <v>14500.0</v>
      </c>
      <c r="E21" s="77">
        <v>3500.0</v>
      </c>
      <c r="F21" s="77">
        <v>4800.0</v>
      </c>
      <c r="G21" s="81">
        <v>68487.81742080001</v>
      </c>
      <c r="H21" s="82">
        <v>65472.28876800001</v>
      </c>
      <c r="I21" s="45" t="str">
        <f>HYPERLINK(CONCATENATE("https://www.jotform.com/edit/",FormYear!O5),"Edit")</f>
        <v>Edit</v>
      </c>
    </row>
    <row r="22">
      <c r="A22" s="77">
        <v>2009.0</v>
      </c>
      <c r="B22" s="77">
        <v>37800.0</v>
      </c>
      <c r="C22" s="77">
        <v>15000.0</v>
      </c>
      <c r="D22" s="77">
        <v>14000.0</v>
      </c>
      <c r="E22" s="77">
        <v>4000.0</v>
      </c>
      <c r="F22" s="77">
        <v>4800.0</v>
      </c>
      <c r="G22" s="81">
        <v>70051.545612288</v>
      </c>
      <c r="H22" s="82">
        <v>65950.42664448</v>
      </c>
      <c r="I22" s="45" t="str">
        <f>HYPERLINK(CONCATENATE("https://www.jotform.com/edit/",FormYear!O6),"Edit")</f>
        <v>Edit</v>
      </c>
    </row>
    <row r="23">
      <c r="A23" s="77">
        <v>2010.0</v>
      </c>
      <c r="B23" s="77">
        <v>34000.0</v>
      </c>
      <c r="C23" s="77">
        <v>14000.0</v>
      </c>
      <c r="D23" s="77">
        <v>15000.0</v>
      </c>
      <c r="E23" s="77">
        <v>2000.0</v>
      </c>
      <c r="F23" s="77">
        <v>3000.0</v>
      </c>
      <c r="G23" s="81">
        <v>71650.42780446721</v>
      </c>
      <c r="H23" s="82">
        <v>66421.50112051201</v>
      </c>
      <c r="I23" s="45" t="str">
        <f>HYPERLINK(CONCATENATE("https://www.jotform.com/edit/",FormYear!O7),"Edit")</f>
        <v>Edit</v>
      </c>
    </row>
    <row r="24">
      <c r="A24" s="77">
        <v>2011.0</v>
      </c>
      <c r="B24" s="77">
        <v>35900.0</v>
      </c>
      <c r="C24" s="77">
        <v>13000.0</v>
      </c>
      <c r="D24" s="77">
        <v>14700.0</v>
      </c>
      <c r="E24" s="77">
        <v>3800.0</v>
      </c>
      <c r="F24" s="77">
        <v>4400.0</v>
      </c>
      <c r="G24" s="81">
        <v>73285.24466608868</v>
      </c>
      <c r="H24" s="82">
        <v>66885.0384049275</v>
      </c>
      <c r="I24" s="45" t="str">
        <f>HYPERLINK(CONCATENATE("https://www.jotform.com/edit/",FormYear!O8),"Edit")</f>
        <v>Edit</v>
      </c>
    </row>
    <row r="25">
      <c r="A25" s="77">
        <v>2012.0</v>
      </c>
      <c r="B25" s="77">
        <v>32000.0</v>
      </c>
      <c r="C25" s="77">
        <v>12000.0</v>
      </c>
      <c r="D25" s="77">
        <v>14000.0</v>
      </c>
      <c r="E25" s="77">
        <v>2000.0</v>
      </c>
      <c r="F25" s="77">
        <v>4000.0</v>
      </c>
      <c r="G25" s="81">
        <v>74956.79403105318</v>
      </c>
      <c r="H25" s="82">
        <v>67340.54858027141</v>
      </c>
      <c r="I25" s="45" t="str">
        <f>HYPERLINK(CONCATENATE("https://www.jotform.com/edit/",FormYear!O9),"Edit")</f>
        <v>Edit</v>
      </c>
    </row>
    <row r="26">
      <c r="A26" s="77">
        <v>2013.0</v>
      </c>
      <c r="B26" s="77">
        <v>31200.0</v>
      </c>
      <c r="C26" s="77">
        <v>10000.0</v>
      </c>
      <c r="D26" s="77">
        <v>14000.0</v>
      </c>
      <c r="E26" s="77">
        <v>3000.0</v>
      </c>
      <c r="F26" s="77">
        <v>4200.0</v>
      </c>
      <c r="G26" s="81">
        <v>76665.89127274987</v>
      </c>
      <c r="H26" s="82">
        <v>67787.5251472671</v>
      </c>
      <c r="I26" s="45" t="str">
        <f>HYPERLINK(CONCATENATE("https://www.jotform.com/edit/",FormYear!O10),"Edit")</f>
        <v>Edit</v>
      </c>
    </row>
    <row r="27">
      <c r="A27" s="77">
        <v>2014.0</v>
      </c>
      <c r="B27" s="77">
        <v>33100.0</v>
      </c>
      <c r="C27" s="77">
        <v>11000.0</v>
      </c>
      <c r="D27" s="77">
        <v>14500.0</v>
      </c>
      <c r="E27" s="77">
        <v>3200.0</v>
      </c>
      <c r="F27" s="77">
        <v>4400.0</v>
      </c>
      <c r="G27" s="81">
        <v>78413.36968650199</v>
      </c>
      <c r="H27" s="82">
        <v>68225.4445575105</v>
      </c>
      <c r="I27" s="45" t="str">
        <f>HYPERLINK(CONCATENATE("https://www.jotform.com/edit/",FormYear!O11),"Edit")</f>
        <v>Edit</v>
      </c>
    </row>
    <row r="28">
      <c r="A28" s="77">
        <v>2015.0</v>
      </c>
      <c r="B28" s="77">
        <v>36800.0</v>
      </c>
      <c r="C28" s="77">
        <v>12000.0</v>
      </c>
      <c r="D28" s="77">
        <v>15000.0</v>
      </c>
      <c r="E28" s="77">
        <v>3400.0</v>
      </c>
      <c r="F28" s="77">
        <v>6400.0</v>
      </c>
      <c r="G28" s="81">
        <v>80200.08088029509</v>
      </c>
      <c r="H28" s="82">
        <v>68653.76573410475</v>
      </c>
      <c r="I28" s="45" t="str">
        <f>HYPERLINK(CONCATENATE("https://www.jotform.com/edit/",FormYear!O12),"Edit")</f>
        <v>Edit</v>
      </c>
    </row>
    <row r="29">
      <c r="A29" s="77">
        <v>2016.0</v>
      </c>
      <c r="B29" s="77">
        <v>36400.0</v>
      </c>
      <c r="C29" s="77">
        <v>13000.0</v>
      </c>
      <c r="D29" s="77">
        <v>15000.0</v>
      </c>
      <c r="E29" s="77">
        <v>4000.0</v>
      </c>
      <c r="F29" s="77">
        <v>4400.0</v>
      </c>
      <c r="G29" s="81">
        <v>82026.89517396533</v>
      </c>
      <c r="H29" s="82">
        <v>69071.92957993977</v>
      </c>
      <c r="I29" s="45" t="str">
        <f>HYPERLINK(CONCATENATE("https://www.jotform.com/edit/",FormYear!O13),"Edit")</f>
        <v>Edit</v>
      </c>
    </row>
    <row r="30">
      <c r="A30" s="77">
        <v>2017.0</v>
      </c>
      <c r="B30" s="77">
        <v>35900.0</v>
      </c>
      <c r="C30" s="77">
        <v>13000.0</v>
      </c>
      <c r="D30" s="77">
        <v>15000.0</v>
      </c>
      <c r="E30" s="77">
        <v>3500.0</v>
      </c>
      <c r="F30" s="77">
        <v>4400.0</v>
      </c>
      <c r="G30" s="81">
        <v>83894.70200703024</v>
      </c>
      <c r="H30" s="82">
        <v>69479.35847331451</v>
      </c>
      <c r="I30" s="45" t="str">
        <f>HYPERLINK(CONCATENATE("https://www.jotform.com/edit/",FormYear!O14),"Edit")</f>
        <v>Edit</v>
      </c>
    </row>
    <row r="31">
      <c r="A31" s="77">
        <v>2018.0</v>
      </c>
      <c r="B31" s="77">
        <v>40300.0</v>
      </c>
      <c r="C31" s="77">
        <v>17000.0</v>
      </c>
      <c r="D31" s="77">
        <v>15000.0</v>
      </c>
      <c r="E31" s="77">
        <v>3600.0</v>
      </c>
      <c r="F31" s="77">
        <v>4700.0</v>
      </c>
      <c r="G31" s="81">
        <v>85804.41035534817</v>
      </c>
      <c r="H31" s="82">
        <v>69875.45575059229</v>
      </c>
      <c r="I31" s="45" t="str">
        <f>HYPERLINK(CONCATENATE("https://www.jotform.com/edit/",FormYear!O15),"Edit")</f>
        <v>Edit</v>
      </c>
    </row>
    <row r="32">
      <c r="A32" s="77">
        <v>2019.0</v>
      </c>
      <c r="B32" s="77">
        <v>31200.0</v>
      </c>
      <c r="C32" s="77">
        <v>10000.0</v>
      </c>
      <c r="D32" s="77">
        <v>14000.0</v>
      </c>
      <c r="E32" s="77">
        <v>3000.0</v>
      </c>
      <c r="F32" s="77">
        <v>4200.0</v>
      </c>
      <c r="G32" s="81">
        <v>87756.949156796</v>
      </c>
      <c r="H32" s="82">
        <v>70259.60517557185</v>
      </c>
      <c r="I32" s="45" t="str">
        <f>HYPERLINK(CONCATENATE("https://www.jotform.com/edit/",FormYear!O16),"Edit")</f>
        <v>Edit</v>
      </c>
    </row>
    <row r="33">
      <c r="A33" s="77">
        <v>2020.0</v>
      </c>
      <c r="B33" s="77">
        <v>29200.0</v>
      </c>
      <c r="C33" s="77">
        <v>10000.0</v>
      </c>
      <c r="D33" s="77">
        <v>12000.0</v>
      </c>
      <c r="E33" s="77">
        <v>3000.0</v>
      </c>
      <c r="F33" s="77">
        <v>4200.0</v>
      </c>
      <c r="G33" s="81">
        <v>89753.26774615962</v>
      </c>
      <c r="H33" s="82">
        <v>70631.17039525036</v>
      </c>
      <c r="I33" s="45" t="str">
        <f>HYPERLINK(CONCATENATE("https://www.jotform.com/edit/",FormYear!O17),"Edit")</f>
        <v>Edit</v>
      </c>
    </row>
    <row r="34">
      <c r="A34" s="77">
        <v>2021.0</v>
      </c>
      <c r="B34" s="77">
        <v>29200.0</v>
      </c>
      <c r="C34" s="77">
        <v>19000.0</v>
      </c>
      <c r="D34" s="77">
        <v>6000.0</v>
      </c>
      <c r="E34" s="77">
        <v>2000.0</v>
      </c>
      <c r="F34" s="77">
        <v>2200.0</v>
      </c>
      <c r="G34" s="81">
        <v>91794.33629943505</v>
      </c>
      <c r="H34" s="82">
        <v>70989.49438164577</v>
      </c>
      <c r="I34" s="45" t="str">
        <f>HYPERLINK(CONCATENATE("https://www.jotform.com/edit/",FormYear!O18),"Edit")</f>
        <v>Edit</v>
      </c>
    </row>
    <row r="35">
      <c r="A35" s="4"/>
      <c r="B35" s="4"/>
      <c r="C35" s="4"/>
      <c r="D35" s="4"/>
      <c r="E35" s="4"/>
      <c r="F35" s="4"/>
    </row>
    <row r="36">
      <c r="A36" s="4"/>
      <c r="B36" s="4"/>
      <c r="C36" s="4"/>
      <c r="D36" s="4"/>
      <c r="E36" s="4"/>
      <c r="F36" s="4"/>
      <c r="H36" s="83" t="s">
        <v>150</v>
      </c>
      <c r="I36" s="84"/>
      <c r="J36" s="84"/>
      <c r="K36" s="85"/>
    </row>
    <row r="37">
      <c r="A37" s="4"/>
      <c r="B37" s="4"/>
      <c r="C37" s="4"/>
      <c r="D37" s="4"/>
      <c r="E37" s="4"/>
      <c r="F37" s="4"/>
      <c r="H37" s="86" t="s">
        <v>2</v>
      </c>
      <c r="I37" s="87" t="s">
        <v>151</v>
      </c>
      <c r="J37" s="88" t="s">
        <v>152</v>
      </c>
      <c r="K37" s="89" t="s">
        <v>15</v>
      </c>
    </row>
    <row r="38">
      <c r="A38" s="4"/>
      <c r="B38" s="4"/>
      <c r="C38" s="4"/>
      <c r="D38" s="4"/>
      <c r="E38" s="4"/>
      <c r="F38" s="4"/>
      <c r="H38" s="90">
        <f t="array" ref="H38:H54">FormYear!C2:C18</f>
        <v>2005</v>
      </c>
      <c r="I38" s="56">
        <f t="array" ref="I38:I54">FormYear!I2:I18</f>
        <v>31200</v>
      </c>
      <c r="J38" s="56">
        <f t="array" ref="J38:J54">FormYear!N2:N18</f>
        <v>213200</v>
      </c>
      <c r="K38" s="91" t="str">
        <f t="array" ref="K38:K54">I18:I34</f>
        <v>Edit</v>
      </c>
    </row>
    <row r="39">
      <c r="A39" s="4"/>
      <c r="B39" s="4"/>
      <c r="C39" s="4"/>
      <c r="D39" s="4"/>
      <c r="E39" s="4"/>
      <c r="F39" s="4"/>
      <c r="H39" s="90">
        <v>2006.0</v>
      </c>
      <c r="I39" s="56">
        <v>32700.0</v>
      </c>
      <c r="J39" s="56">
        <v>213350.0</v>
      </c>
      <c r="K39" s="91" t="s">
        <v>109</v>
      </c>
    </row>
    <row r="40">
      <c r="A40" s="4"/>
      <c r="B40" s="4"/>
      <c r="C40" s="4"/>
      <c r="D40" s="4"/>
      <c r="E40" s="4"/>
      <c r="F40" s="4"/>
      <c r="H40" s="90">
        <v>2007.0</v>
      </c>
      <c r="I40" s="56">
        <v>40200.0</v>
      </c>
      <c r="J40" s="56">
        <v>223200.0</v>
      </c>
      <c r="K40" s="91" t="s">
        <v>109</v>
      </c>
    </row>
    <row r="41">
      <c r="A41" s="4"/>
      <c r="B41" s="4"/>
      <c r="C41" s="4"/>
      <c r="D41" s="4"/>
      <c r="E41" s="4"/>
      <c r="F41" s="4"/>
      <c r="H41" s="90">
        <v>2008.0</v>
      </c>
      <c r="I41" s="56">
        <v>34800.0</v>
      </c>
      <c r="J41" s="56">
        <v>213200.0</v>
      </c>
      <c r="K41" s="91" t="s">
        <v>109</v>
      </c>
    </row>
    <row r="42">
      <c r="A42" s="4"/>
      <c r="B42" s="4"/>
      <c r="C42" s="4"/>
      <c r="D42" s="4"/>
      <c r="E42" s="4"/>
      <c r="F42" s="4"/>
      <c r="H42" s="90">
        <v>2009.0</v>
      </c>
      <c r="I42" s="56">
        <v>37800.0</v>
      </c>
      <c r="J42" s="56">
        <v>213900.0</v>
      </c>
      <c r="K42" s="91" t="s">
        <v>109</v>
      </c>
    </row>
    <row r="43">
      <c r="A43" s="4"/>
      <c r="B43" s="4"/>
      <c r="C43" s="4"/>
      <c r="D43" s="4"/>
      <c r="E43" s="4"/>
      <c r="F43" s="4"/>
      <c r="H43" s="90">
        <v>2010.0</v>
      </c>
      <c r="I43" s="56">
        <v>34000.0</v>
      </c>
      <c r="J43" s="56">
        <v>217500.0</v>
      </c>
      <c r="K43" s="91" t="s">
        <v>109</v>
      </c>
    </row>
    <row r="44">
      <c r="A44" s="4"/>
      <c r="B44" s="4"/>
      <c r="C44" s="4"/>
      <c r="D44" s="4"/>
      <c r="E44" s="4"/>
      <c r="F44" s="4"/>
      <c r="H44" s="90">
        <v>2011.0</v>
      </c>
      <c r="I44" s="56">
        <v>35900.0</v>
      </c>
      <c r="J44" s="56">
        <v>213200.0</v>
      </c>
      <c r="K44" s="91" t="s">
        <v>109</v>
      </c>
    </row>
    <row r="45">
      <c r="A45" s="4"/>
      <c r="B45" s="4"/>
      <c r="C45" s="4"/>
      <c r="D45" s="4"/>
      <c r="E45" s="4"/>
      <c r="F45" s="4"/>
      <c r="H45" s="90">
        <v>2012.0</v>
      </c>
      <c r="I45" s="56">
        <v>32000.0</v>
      </c>
      <c r="J45" s="56">
        <v>213200.0</v>
      </c>
      <c r="K45" s="91" t="s">
        <v>109</v>
      </c>
    </row>
    <row r="46">
      <c r="A46" s="4"/>
      <c r="B46" s="4"/>
      <c r="C46" s="4"/>
      <c r="D46" s="4"/>
      <c r="E46" s="4"/>
      <c r="F46" s="4"/>
      <c r="H46" s="90">
        <v>2013.0</v>
      </c>
      <c r="I46" s="56">
        <v>31200.0</v>
      </c>
      <c r="J46" s="56">
        <v>202200.0</v>
      </c>
      <c r="K46" s="91" t="s">
        <v>109</v>
      </c>
    </row>
    <row r="47">
      <c r="A47" s="4"/>
      <c r="B47" s="4"/>
      <c r="C47" s="4"/>
      <c r="D47" s="4"/>
      <c r="E47" s="4"/>
      <c r="F47" s="4"/>
      <c r="H47" s="90">
        <v>2014.0</v>
      </c>
      <c r="I47" s="56">
        <v>33100.0</v>
      </c>
      <c r="J47" s="56">
        <v>213200.0</v>
      </c>
      <c r="K47" s="91" t="s">
        <v>109</v>
      </c>
    </row>
    <row r="48">
      <c r="A48" s="4"/>
      <c r="B48" s="4"/>
      <c r="C48" s="4"/>
      <c r="D48" s="4"/>
      <c r="E48" s="4"/>
      <c r="F48" s="4"/>
      <c r="H48" s="90">
        <v>2015.0</v>
      </c>
      <c r="I48" s="56">
        <v>36800.0</v>
      </c>
      <c r="J48" s="56">
        <v>213200.0</v>
      </c>
      <c r="K48" s="91" t="s">
        <v>109</v>
      </c>
    </row>
    <row r="49">
      <c r="A49" s="4"/>
      <c r="B49" s="4"/>
      <c r="C49" s="4"/>
      <c r="D49" s="4"/>
      <c r="E49" s="4"/>
      <c r="F49" s="4"/>
      <c r="H49" s="90">
        <v>2016.0</v>
      </c>
      <c r="I49" s="56">
        <v>36400.0</v>
      </c>
      <c r="J49" s="56">
        <v>213200.0</v>
      </c>
      <c r="K49" s="91" t="s">
        <v>109</v>
      </c>
    </row>
    <row r="50">
      <c r="A50" s="4"/>
      <c r="B50" s="4"/>
      <c r="C50" s="4"/>
      <c r="D50" s="4"/>
      <c r="E50" s="4"/>
      <c r="F50" s="4"/>
      <c r="H50" s="90">
        <v>2017.0</v>
      </c>
      <c r="I50" s="56">
        <v>35900.0</v>
      </c>
      <c r="J50" s="56">
        <v>213200.0</v>
      </c>
      <c r="K50" s="91" t="s">
        <v>109</v>
      </c>
    </row>
    <row r="51">
      <c r="A51" s="4"/>
      <c r="B51" s="4"/>
      <c r="C51" s="4"/>
      <c r="D51" s="4"/>
      <c r="E51" s="4"/>
      <c r="F51" s="4"/>
      <c r="H51" s="90">
        <v>2018.0</v>
      </c>
      <c r="I51" s="56">
        <v>40300.0</v>
      </c>
      <c r="J51" s="56">
        <v>223200.0</v>
      </c>
      <c r="K51" s="91" t="s">
        <v>109</v>
      </c>
    </row>
    <row r="52">
      <c r="A52" s="4"/>
      <c r="B52" s="4"/>
      <c r="C52" s="4"/>
      <c r="D52" s="4"/>
      <c r="E52" s="4"/>
      <c r="F52" s="4"/>
      <c r="H52" s="90">
        <v>2019.0</v>
      </c>
      <c r="I52" s="56">
        <v>31200.0</v>
      </c>
      <c r="J52" s="56">
        <v>213200.0</v>
      </c>
      <c r="K52" s="91" t="s">
        <v>109</v>
      </c>
    </row>
    <row r="53">
      <c r="A53" s="4"/>
      <c r="B53" s="4"/>
      <c r="C53" s="4"/>
      <c r="D53" s="4"/>
      <c r="E53" s="4"/>
      <c r="F53" s="4"/>
      <c r="H53" s="90">
        <v>2020.0</v>
      </c>
      <c r="I53" s="56">
        <v>29200.0</v>
      </c>
      <c r="J53" s="56">
        <v>213200.0</v>
      </c>
      <c r="K53" s="91" t="s">
        <v>109</v>
      </c>
    </row>
    <row r="54">
      <c r="A54" s="4"/>
      <c r="B54" s="4"/>
      <c r="C54" s="4"/>
      <c r="D54" s="4"/>
      <c r="E54" s="4"/>
      <c r="F54" s="4"/>
      <c r="H54" s="92">
        <v>2021.0</v>
      </c>
      <c r="I54" s="93">
        <v>29200.0</v>
      </c>
      <c r="J54" s="93">
        <v>168200.0</v>
      </c>
      <c r="K54" s="94" t="s">
        <v>109</v>
      </c>
    </row>
    <row r="55">
      <c r="A55" s="4"/>
      <c r="B55" s="4"/>
      <c r="C55" s="4"/>
      <c r="D55" s="4"/>
      <c r="E55" s="4"/>
      <c r="F55" s="4"/>
    </row>
    <row r="56">
      <c r="A56" s="4"/>
      <c r="B56" s="4"/>
      <c r="C56" s="4"/>
      <c r="D56" s="4"/>
      <c r="E56" s="4"/>
      <c r="F56" s="4"/>
    </row>
    <row r="57">
      <c r="A57" s="4"/>
      <c r="B57" s="4"/>
      <c r="C57" s="4"/>
      <c r="D57" s="4"/>
      <c r="E57" s="4"/>
      <c r="F57" s="4"/>
    </row>
    <row r="58">
      <c r="A58" s="4"/>
      <c r="B58" s="4"/>
      <c r="C58" s="4"/>
      <c r="D58" s="4"/>
      <c r="E58" s="4"/>
      <c r="F58" s="4"/>
    </row>
    <row r="59">
      <c r="A59" s="4"/>
      <c r="B59" s="4"/>
      <c r="C59" s="4"/>
      <c r="D59" s="4"/>
      <c r="E59" s="4"/>
      <c r="F59" s="4"/>
    </row>
    <row r="60">
      <c r="A60" s="4"/>
      <c r="B60" s="4"/>
      <c r="C60" s="4"/>
      <c r="D60" s="4"/>
      <c r="E60" s="4"/>
      <c r="F60" s="4"/>
    </row>
    <row r="61">
      <c r="A61" s="4"/>
      <c r="B61" s="4"/>
      <c r="C61" s="4"/>
      <c r="D61" s="4"/>
      <c r="E61" s="4"/>
      <c r="F61" s="4"/>
    </row>
    <row r="62">
      <c r="A62" s="4"/>
      <c r="B62" s="4"/>
      <c r="C62" s="4"/>
      <c r="D62" s="4"/>
      <c r="E62" s="4"/>
      <c r="F62" s="4"/>
    </row>
    <row r="63">
      <c r="A63" s="4"/>
      <c r="B63" s="4"/>
      <c r="C63" s="4"/>
      <c r="D63" s="4"/>
      <c r="E63" s="4"/>
      <c r="F63" s="4"/>
    </row>
    <row r="64">
      <c r="A64" s="4"/>
      <c r="B64" s="4"/>
      <c r="C64" s="4"/>
      <c r="D64" s="4"/>
      <c r="E64" s="4"/>
      <c r="F64" s="4"/>
    </row>
    <row r="65">
      <c r="A65" s="4"/>
      <c r="B65" s="4"/>
      <c r="C65" s="4"/>
      <c r="D65" s="4"/>
      <c r="E65" s="4"/>
      <c r="F65" s="4"/>
    </row>
    <row r="66">
      <c r="A66" s="4"/>
      <c r="B66" s="4"/>
      <c r="C66" s="4"/>
      <c r="D66" s="4"/>
      <c r="E66" s="4"/>
      <c r="F66" s="4"/>
    </row>
    <row r="67">
      <c r="A67" s="4"/>
      <c r="B67" s="4"/>
      <c r="C67" s="4"/>
      <c r="D67" s="4"/>
      <c r="E67" s="4"/>
      <c r="F67" s="4"/>
    </row>
    <row r="68">
      <c r="A68" s="4"/>
      <c r="B68" s="4"/>
      <c r="C68" s="4"/>
      <c r="D68" s="4"/>
      <c r="E68" s="4"/>
      <c r="F68" s="4"/>
    </row>
    <row r="69">
      <c r="A69" s="4"/>
      <c r="B69" s="4"/>
      <c r="C69" s="4"/>
      <c r="D69" s="4"/>
      <c r="E69" s="4"/>
      <c r="F69" s="4"/>
    </row>
    <row r="70">
      <c r="A70" s="4"/>
      <c r="B70" s="4"/>
      <c r="C70" s="4"/>
      <c r="D70" s="4"/>
      <c r="E70" s="4"/>
      <c r="F70" s="4"/>
    </row>
    <row r="71">
      <c r="A71" s="4"/>
      <c r="B71" s="4"/>
      <c r="C71" s="4"/>
      <c r="D71" s="4"/>
      <c r="E71" s="4"/>
      <c r="F71" s="4"/>
    </row>
    <row r="72">
      <c r="A72" s="4"/>
      <c r="B72" s="4"/>
      <c r="C72" s="4"/>
      <c r="D72" s="4"/>
      <c r="E72" s="4"/>
      <c r="F72" s="4"/>
    </row>
    <row r="73">
      <c r="A73" s="4"/>
      <c r="B73" s="4"/>
      <c r="C73" s="4"/>
      <c r="D73" s="4"/>
      <c r="E73" s="4"/>
      <c r="F73" s="4"/>
    </row>
    <row r="74">
      <c r="A74" s="4"/>
      <c r="B74" s="4"/>
      <c r="C74" s="4"/>
      <c r="D74" s="4"/>
      <c r="E74" s="4"/>
      <c r="F74" s="4"/>
    </row>
    <row r="75">
      <c r="A75" s="4"/>
      <c r="B75" s="4"/>
      <c r="C75" s="4"/>
      <c r="D75" s="4"/>
      <c r="E75" s="4"/>
      <c r="F75" s="4"/>
    </row>
    <row r="76">
      <c r="A76" s="4"/>
      <c r="B76" s="4"/>
      <c r="C76" s="4"/>
      <c r="D76" s="4"/>
      <c r="E76" s="4"/>
      <c r="F76" s="4"/>
    </row>
    <row r="77">
      <c r="A77" s="4"/>
      <c r="B77" s="4"/>
      <c r="C77" s="4"/>
      <c r="D77" s="4"/>
      <c r="E77" s="4"/>
      <c r="F77" s="4"/>
    </row>
    <row r="78">
      <c r="A78" s="4"/>
      <c r="B78" s="4"/>
      <c r="C78" s="4"/>
      <c r="D78" s="4"/>
      <c r="E78" s="4"/>
      <c r="F78" s="4"/>
    </row>
    <row r="79">
      <c r="A79" s="4"/>
      <c r="B79" s="4"/>
      <c r="C79" s="4"/>
      <c r="D79" s="4"/>
      <c r="E79" s="4"/>
      <c r="F79" s="4"/>
    </row>
    <row r="80">
      <c r="A80" s="4"/>
      <c r="B80" s="4"/>
      <c r="C80" s="4"/>
      <c r="D80" s="4"/>
      <c r="E80" s="4"/>
      <c r="F80" s="4"/>
    </row>
    <row r="81">
      <c r="A81" s="4"/>
      <c r="B81" s="4"/>
      <c r="C81" s="4"/>
      <c r="D81" s="4"/>
      <c r="E81" s="4"/>
      <c r="F81" s="4"/>
    </row>
    <row r="82">
      <c r="A82" s="4"/>
      <c r="B82" s="4"/>
      <c r="C82" s="4"/>
      <c r="D82" s="4"/>
      <c r="E82" s="4"/>
      <c r="F82" s="4"/>
    </row>
    <row r="83">
      <c r="A83" s="4"/>
      <c r="B83" s="4"/>
      <c r="C83" s="4"/>
      <c r="D83" s="4"/>
      <c r="E83" s="4"/>
      <c r="F83" s="4"/>
    </row>
    <row r="84">
      <c r="A84" s="4"/>
      <c r="B84" s="4"/>
      <c r="C84" s="4"/>
      <c r="D84" s="4"/>
      <c r="E84" s="4"/>
      <c r="F84" s="4"/>
    </row>
    <row r="85">
      <c r="A85" s="4"/>
      <c r="B85" s="4"/>
      <c r="C85" s="4"/>
      <c r="D85" s="4"/>
      <c r="E85" s="4"/>
      <c r="F85" s="4"/>
    </row>
    <row r="86">
      <c r="A86" s="4"/>
      <c r="B86" s="4"/>
      <c r="C86" s="4"/>
      <c r="D86" s="4"/>
      <c r="E86" s="4"/>
      <c r="F86" s="4"/>
    </row>
    <row r="87">
      <c r="A87" s="4"/>
      <c r="B87" s="4"/>
      <c r="C87" s="4"/>
      <c r="D87" s="4"/>
      <c r="E87" s="4"/>
      <c r="F87" s="4"/>
    </row>
    <row r="88">
      <c r="A88" s="4"/>
      <c r="B88" s="4"/>
      <c r="C88" s="4"/>
      <c r="D88" s="4"/>
      <c r="E88" s="4"/>
      <c r="F88" s="4"/>
    </row>
    <row r="89">
      <c r="A89" s="4"/>
      <c r="B89" s="4"/>
      <c r="C89" s="4"/>
      <c r="D89" s="4"/>
      <c r="E89" s="4"/>
      <c r="F89" s="4"/>
    </row>
    <row r="90">
      <c r="A90" s="4"/>
      <c r="B90" s="4"/>
      <c r="C90" s="4"/>
      <c r="D90" s="4"/>
      <c r="E90" s="4"/>
      <c r="F90" s="4"/>
    </row>
    <row r="91">
      <c r="A91" s="4"/>
      <c r="B91" s="4"/>
      <c r="C91" s="4"/>
      <c r="D91" s="4"/>
      <c r="E91" s="4"/>
      <c r="F91" s="4"/>
    </row>
    <row r="92">
      <c r="A92" s="4"/>
      <c r="B92" s="4"/>
      <c r="C92" s="4"/>
      <c r="D92" s="4"/>
      <c r="E92" s="4"/>
      <c r="F92" s="4"/>
    </row>
    <row r="93">
      <c r="A93" s="4"/>
      <c r="B93" s="4"/>
      <c r="C93" s="4"/>
      <c r="D93" s="4"/>
      <c r="E93" s="4"/>
      <c r="F93" s="4"/>
    </row>
    <row r="94">
      <c r="A94" s="4"/>
      <c r="B94" s="4"/>
      <c r="C94" s="4"/>
      <c r="D94" s="4"/>
      <c r="E94" s="4"/>
      <c r="F94" s="4"/>
    </row>
    <row r="95">
      <c r="A95" s="4"/>
      <c r="B95" s="4"/>
      <c r="C95" s="4"/>
      <c r="D95" s="4"/>
      <c r="E95" s="4"/>
      <c r="F95" s="4"/>
    </row>
    <row r="96">
      <c r="A96" s="4"/>
      <c r="B96" s="4"/>
      <c r="C96" s="4"/>
      <c r="D96" s="4"/>
      <c r="E96" s="4"/>
      <c r="F96" s="4"/>
    </row>
    <row r="97">
      <c r="A97" s="4"/>
      <c r="B97" s="4"/>
      <c r="C97" s="4"/>
      <c r="D97" s="4"/>
      <c r="E97" s="4"/>
      <c r="F97" s="4"/>
    </row>
    <row r="98">
      <c r="A98" s="4"/>
      <c r="B98" s="4"/>
      <c r="C98" s="4"/>
      <c r="D98" s="4"/>
      <c r="E98" s="4"/>
      <c r="F98" s="4"/>
    </row>
    <row r="99">
      <c r="A99" s="4"/>
      <c r="B99" s="4"/>
      <c r="C99" s="4"/>
      <c r="D99" s="4"/>
      <c r="E99" s="4"/>
      <c r="F99" s="4"/>
    </row>
    <row r="100">
      <c r="A100" s="4"/>
      <c r="B100" s="4"/>
      <c r="C100" s="4"/>
      <c r="D100" s="4"/>
      <c r="E100" s="4"/>
      <c r="F100" s="4"/>
    </row>
    <row r="101">
      <c r="A101" s="4"/>
      <c r="B101" s="4"/>
      <c r="C101" s="4"/>
      <c r="D101" s="4"/>
      <c r="E101" s="4"/>
      <c r="F101" s="4"/>
    </row>
    <row r="102">
      <c r="A102" s="4"/>
      <c r="B102" s="4"/>
      <c r="C102" s="4"/>
      <c r="D102" s="4"/>
      <c r="E102" s="4"/>
      <c r="F102" s="4"/>
    </row>
    <row r="103">
      <c r="A103" s="4"/>
      <c r="B103" s="4"/>
      <c r="C103" s="4"/>
      <c r="D103" s="4"/>
      <c r="E103" s="4"/>
      <c r="F103" s="4"/>
    </row>
    <row r="104">
      <c r="A104" s="4"/>
      <c r="B104" s="4"/>
      <c r="C104" s="4"/>
      <c r="D104" s="4"/>
      <c r="E104" s="4"/>
      <c r="F104" s="4"/>
    </row>
    <row r="105">
      <c r="A105" s="4"/>
      <c r="B105" s="4"/>
      <c r="C105" s="4"/>
      <c r="D105" s="4"/>
      <c r="E105" s="4"/>
      <c r="F105" s="4"/>
    </row>
    <row r="106">
      <c r="A106" s="4"/>
      <c r="B106" s="4"/>
      <c r="C106" s="4"/>
      <c r="D106" s="4"/>
      <c r="E106" s="4"/>
      <c r="F106" s="4"/>
    </row>
    <row r="107">
      <c r="A107" s="4"/>
      <c r="B107" s="4"/>
      <c r="C107" s="4"/>
      <c r="D107" s="4"/>
      <c r="E107" s="4"/>
      <c r="F107" s="4"/>
    </row>
    <row r="108">
      <c r="A108" s="4"/>
      <c r="B108" s="4"/>
      <c r="C108" s="4"/>
      <c r="D108" s="4"/>
      <c r="E108" s="4"/>
      <c r="F108" s="4"/>
    </row>
    <row r="109">
      <c r="A109" s="4"/>
      <c r="B109" s="4"/>
      <c r="C109" s="4"/>
      <c r="D109" s="4"/>
      <c r="E109" s="4"/>
      <c r="F109" s="4"/>
    </row>
    <row r="110">
      <c r="A110" s="4"/>
      <c r="B110" s="4"/>
      <c r="C110" s="4"/>
      <c r="D110" s="4"/>
      <c r="E110" s="4"/>
      <c r="F110" s="4"/>
    </row>
    <row r="111">
      <c r="A111" s="4"/>
      <c r="B111" s="4"/>
      <c r="C111" s="4"/>
      <c r="D111" s="4"/>
      <c r="E111" s="4"/>
      <c r="F111" s="4"/>
    </row>
    <row r="112">
      <c r="A112" s="4"/>
      <c r="B112" s="4"/>
      <c r="C112" s="4"/>
      <c r="D112" s="4"/>
      <c r="E112" s="4"/>
      <c r="F112" s="4"/>
    </row>
    <row r="113">
      <c r="A113" s="4"/>
      <c r="B113" s="4"/>
      <c r="C113" s="4"/>
      <c r="D113" s="4"/>
      <c r="E113" s="4"/>
      <c r="F113" s="4"/>
    </row>
    <row r="114">
      <c r="A114" s="4"/>
      <c r="B114" s="4"/>
      <c r="C114" s="4"/>
      <c r="D114" s="4"/>
      <c r="E114" s="4"/>
      <c r="F114" s="4"/>
    </row>
    <row r="115">
      <c r="A115" s="4"/>
      <c r="B115" s="4"/>
      <c r="C115" s="4"/>
      <c r="D115" s="4"/>
      <c r="E115" s="4"/>
      <c r="F115" s="4"/>
    </row>
    <row r="116">
      <c r="A116" s="4"/>
      <c r="B116" s="4"/>
      <c r="C116" s="4"/>
      <c r="D116" s="4"/>
      <c r="E116" s="4"/>
      <c r="F116" s="4"/>
    </row>
    <row r="117">
      <c r="A117" s="4"/>
      <c r="B117" s="4"/>
      <c r="C117" s="4"/>
      <c r="D117" s="4"/>
      <c r="E117" s="4"/>
      <c r="F117" s="4"/>
    </row>
    <row r="118">
      <c r="A118" s="4"/>
      <c r="B118" s="4"/>
      <c r="C118" s="4"/>
      <c r="D118" s="4"/>
      <c r="E118" s="4"/>
      <c r="F118" s="4"/>
    </row>
    <row r="119">
      <c r="A119" s="4"/>
      <c r="B119" s="4"/>
      <c r="C119" s="4"/>
      <c r="D119" s="4"/>
      <c r="E119" s="4"/>
      <c r="F119" s="4"/>
    </row>
    <row r="120">
      <c r="A120" s="4"/>
      <c r="B120" s="4"/>
      <c r="C120" s="4"/>
      <c r="D120" s="4"/>
      <c r="E120" s="4"/>
      <c r="F120" s="4"/>
    </row>
    <row r="121">
      <c r="A121" s="4"/>
      <c r="B121" s="4"/>
      <c r="C121" s="4"/>
      <c r="D121" s="4"/>
      <c r="E121" s="4"/>
      <c r="F121" s="4"/>
    </row>
    <row r="122">
      <c r="A122" s="4"/>
      <c r="B122" s="4"/>
      <c r="C122" s="4"/>
      <c r="D122" s="4"/>
      <c r="E122" s="4"/>
      <c r="F122" s="4"/>
    </row>
    <row r="123">
      <c r="A123" s="4"/>
      <c r="B123" s="4"/>
      <c r="C123" s="4"/>
      <c r="D123" s="4"/>
      <c r="E123" s="4"/>
      <c r="F123" s="4"/>
    </row>
    <row r="124">
      <c r="A124" s="4"/>
      <c r="B124" s="4"/>
      <c r="C124" s="4"/>
      <c r="D124" s="4"/>
      <c r="E124" s="4"/>
      <c r="F124" s="4"/>
    </row>
    <row r="125">
      <c r="A125" s="4"/>
      <c r="B125" s="4"/>
      <c r="C125" s="4"/>
      <c r="D125" s="4"/>
      <c r="E125" s="4"/>
      <c r="F125" s="4"/>
    </row>
    <row r="126">
      <c r="A126" s="4"/>
      <c r="B126" s="4"/>
      <c r="C126" s="4"/>
      <c r="D126" s="4"/>
      <c r="E126" s="4"/>
      <c r="F126" s="4"/>
    </row>
    <row r="127">
      <c r="A127" s="4"/>
      <c r="B127" s="4"/>
      <c r="C127" s="4"/>
      <c r="D127" s="4"/>
      <c r="E127" s="4"/>
      <c r="F127" s="4"/>
    </row>
    <row r="128">
      <c r="A128" s="4"/>
      <c r="B128" s="4"/>
      <c r="C128" s="4"/>
      <c r="D128" s="4"/>
      <c r="E128" s="4"/>
      <c r="F128" s="4"/>
    </row>
    <row r="129">
      <c r="A129" s="4"/>
      <c r="B129" s="4"/>
      <c r="C129" s="4"/>
      <c r="D129" s="4"/>
      <c r="E129" s="4"/>
      <c r="F129" s="4"/>
    </row>
    <row r="130">
      <c r="A130" s="4"/>
      <c r="B130" s="4"/>
      <c r="C130" s="4"/>
      <c r="D130" s="4"/>
      <c r="E130" s="4"/>
      <c r="F130" s="4"/>
    </row>
    <row r="131">
      <c r="A131" s="4"/>
      <c r="B131" s="4"/>
      <c r="C131" s="4"/>
      <c r="D131" s="4"/>
      <c r="E131" s="4"/>
      <c r="F131" s="4"/>
    </row>
    <row r="132">
      <c r="A132" s="4"/>
      <c r="B132" s="4"/>
      <c r="C132" s="4"/>
      <c r="D132" s="4"/>
      <c r="E132" s="4"/>
      <c r="F132" s="4"/>
    </row>
    <row r="133">
      <c r="A133" s="4"/>
      <c r="B133" s="4"/>
      <c r="C133" s="4"/>
      <c r="D133" s="4"/>
      <c r="E133" s="4"/>
      <c r="F133" s="4"/>
    </row>
    <row r="134">
      <c r="A134" s="4"/>
      <c r="B134" s="4"/>
      <c r="C134" s="4"/>
      <c r="D134" s="4"/>
      <c r="E134" s="4"/>
      <c r="F134" s="4"/>
    </row>
    <row r="135">
      <c r="A135" s="4"/>
      <c r="B135" s="4"/>
      <c r="C135" s="4"/>
      <c r="D135" s="4"/>
      <c r="E135" s="4"/>
      <c r="F135" s="4"/>
    </row>
    <row r="136">
      <c r="A136" s="4"/>
      <c r="B136" s="4"/>
      <c r="C136" s="4"/>
      <c r="D136" s="4"/>
      <c r="E136" s="4"/>
      <c r="F136" s="4"/>
    </row>
    <row r="137">
      <c r="A137" s="4"/>
      <c r="B137" s="4"/>
      <c r="C137" s="4"/>
      <c r="D137" s="4"/>
      <c r="E137" s="4"/>
      <c r="F137" s="4"/>
    </row>
    <row r="138">
      <c r="A138" s="4"/>
      <c r="B138" s="4"/>
      <c r="C138" s="4"/>
      <c r="D138" s="4"/>
      <c r="E138" s="4"/>
      <c r="F138" s="4"/>
    </row>
    <row r="139">
      <c r="A139" s="4"/>
      <c r="B139" s="4"/>
      <c r="C139" s="4"/>
      <c r="D139" s="4"/>
      <c r="E139" s="4"/>
      <c r="F139" s="4"/>
    </row>
    <row r="140">
      <c r="A140" s="4"/>
      <c r="B140" s="4"/>
      <c r="C140" s="4"/>
      <c r="D140" s="4"/>
      <c r="E140" s="4"/>
      <c r="F140" s="4"/>
    </row>
    <row r="141">
      <c r="A141" s="4"/>
      <c r="B141" s="4"/>
      <c r="C141" s="4"/>
      <c r="D141" s="4"/>
      <c r="E141" s="4"/>
      <c r="F141" s="4"/>
    </row>
    <row r="142">
      <c r="A142" s="4"/>
      <c r="B142" s="4"/>
      <c r="C142" s="4"/>
      <c r="D142" s="4"/>
      <c r="E142" s="4"/>
      <c r="F142" s="4"/>
    </row>
    <row r="143">
      <c r="A143" s="4"/>
      <c r="B143" s="4"/>
      <c r="C143" s="4"/>
      <c r="D143" s="4"/>
      <c r="E143" s="4"/>
      <c r="F143" s="4"/>
    </row>
    <row r="144">
      <c r="A144" s="4"/>
      <c r="B144" s="4"/>
      <c r="C144" s="4"/>
      <c r="D144" s="4"/>
      <c r="E144" s="4"/>
      <c r="F144" s="4"/>
    </row>
    <row r="145">
      <c r="A145" s="4"/>
      <c r="B145" s="4"/>
      <c r="C145" s="4"/>
      <c r="D145" s="4"/>
      <c r="E145" s="4"/>
      <c r="F145" s="4"/>
    </row>
    <row r="146">
      <c r="A146" s="4"/>
      <c r="B146" s="4"/>
      <c r="C146" s="4"/>
      <c r="D146" s="4"/>
      <c r="E146" s="4"/>
      <c r="F146" s="4"/>
    </row>
    <row r="147">
      <c r="A147" s="4"/>
      <c r="B147" s="4"/>
      <c r="C147" s="4"/>
      <c r="D147" s="4"/>
      <c r="E147" s="4"/>
      <c r="F147" s="4"/>
    </row>
    <row r="148">
      <c r="A148" s="4"/>
      <c r="B148" s="4"/>
      <c r="C148" s="4"/>
      <c r="D148" s="4"/>
      <c r="E148" s="4"/>
      <c r="F148" s="4"/>
    </row>
    <row r="149">
      <c r="A149" s="4"/>
      <c r="B149" s="4"/>
      <c r="C149" s="4"/>
      <c r="D149" s="4"/>
      <c r="E149" s="4"/>
      <c r="F149" s="4"/>
    </row>
    <row r="150">
      <c r="A150" s="4"/>
      <c r="B150" s="4"/>
      <c r="C150" s="4"/>
      <c r="D150" s="4"/>
      <c r="E150" s="4"/>
      <c r="F150" s="4"/>
    </row>
    <row r="151">
      <c r="A151" s="4"/>
      <c r="B151" s="4"/>
      <c r="C151" s="4"/>
      <c r="D151" s="4"/>
      <c r="E151" s="4"/>
      <c r="F151" s="4"/>
    </row>
    <row r="152">
      <c r="A152" s="4"/>
      <c r="B152" s="4"/>
      <c r="C152" s="4"/>
      <c r="D152" s="4"/>
      <c r="E152" s="4"/>
      <c r="F152" s="4"/>
    </row>
    <row r="153">
      <c r="A153" s="4"/>
      <c r="B153" s="4"/>
      <c r="C153" s="4"/>
      <c r="D153" s="4"/>
      <c r="E153" s="4"/>
      <c r="F153" s="4"/>
    </row>
    <row r="154">
      <c r="A154" s="4"/>
      <c r="B154" s="4"/>
      <c r="C154" s="4"/>
      <c r="D154" s="4"/>
      <c r="E154" s="4"/>
      <c r="F154" s="4"/>
    </row>
    <row r="155">
      <c r="A155" s="4"/>
      <c r="B155" s="4"/>
      <c r="C155" s="4"/>
      <c r="D155" s="4"/>
      <c r="E155" s="4"/>
      <c r="F155" s="4"/>
    </row>
    <row r="156">
      <c r="A156" s="4"/>
      <c r="B156" s="4"/>
      <c r="C156" s="4"/>
      <c r="D156" s="4"/>
      <c r="E156" s="4"/>
      <c r="F156" s="4"/>
    </row>
    <row r="157">
      <c r="A157" s="4"/>
      <c r="B157" s="4"/>
      <c r="C157" s="4"/>
      <c r="D157" s="4"/>
      <c r="E157" s="4"/>
      <c r="F157" s="4"/>
    </row>
    <row r="158">
      <c r="A158" s="4"/>
      <c r="B158" s="4"/>
      <c r="C158" s="4"/>
      <c r="D158" s="4"/>
      <c r="E158" s="4"/>
      <c r="F158" s="4"/>
    </row>
    <row r="159">
      <c r="A159" s="4"/>
      <c r="B159" s="4"/>
      <c r="C159" s="4"/>
      <c r="D159" s="4"/>
      <c r="E159" s="4"/>
      <c r="F159" s="4"/>
    </row>
    <row r="160">
      <c r="A160" s="4"/>
      <c r="B160" s="4"/>
      <c r="C160" s="4"/>
      <c r="D160" s="4"/>
      <c r="E160" s="4"/>
      <c r="F160" s="4"/>
    </row>
    <row r="161">
      <c r="A161" s="4"/>
      <c r="B161" s="4"/>
      <c r="C161" s="4"/>
      <c r="D161" s="4"/>
      <c r="E161" s="4"/>
      <c r="F161" s="4"/>
    </row>
    <row r="162">
      <c r="A162" s="4"/>
      <c r="B162" s="4"/>
      <c r="C162" s="4"/>
      <c r="D162" s="4"/>
      <c r="E162" s="4"/>
      <c r="F162" s="4"/>
    </row>
    <row r="163">
      <c r="A163" s="4"/>
      <c r="B163" s="4"/>
      <c r="C163" s="4"/>
      <c r="D163" s="4"/>
      <c r="E163" s="4"/>
      <c r="F163" s="4"/>
    </row>
    <row r="164">
      <c r="A164" s="4"/>
      <c r="B164" s="4"/>
      <c r="C164" s="4"/>
      <c r="D164" s="4"/>
      <c r="E164" s="4"/>
      <c r="F164" s="4"/>
    </row>
    <row r="165">
      <c r="A165" s="4"/>
      <c r="B165" s="4"/>
      <c r="C165" s="4"/>
      <c r="D165" s="4"/>
      <c r="E165" s="4"/>
      <c r="F165" s="4"/>
    </row>
    <row r="166">
      <c r="A166" s="4"/>
      <c r="B166" s="4"/>
      <c r="C166" s="4"/>
      <c r="D166" s="4"/>
      <c r="E166" s="4"/>
      <c r="F166" s="4"/>
    </row>
    <row r="167">
      <c r="A167" s="4"/>
      <c r="B167" s="4"/>
      <c r="C167" s="4"/>
      <c r="D167" s="4"/>
      <c r="E167" s="4"/>
      <c r="F167" s="4"/>
    </row>
    <row r="168">
      <c r="A168" s="4"/>
      <c r="B168" s="4"/>
      <c r="C168" s="4"/>
      <c r="D168" s="4"/>
      <c r="E168" s="4"/>
      <c r="F168" s="4"/>
    </row>
    <row r="169">
      <c r="A169" s="4"/>
      <c r="B169" s="4"/>
      <c r="C169" s="4"/>
      <c r="D169" s="4"/>
      <c r="E169" s="4"/>
      <c r="F169" s="4"/>
    </row>
    <row r="170">
      <c r="A170" s="4"/>
      <c r="B170" s="4"/>
      <c r="C170" s="4"/>
      <c r="D170" s="4"/>
      <c r="E170" s="4"/>
      <c r="F170" s="4"/>
    </row>
    <row r="171">
      <c r="A171" s="4"/>
      <c r="B171" s="4"/>
      <c r="C171" s="4"/>
      <c r="D171" s="4"/>
      <c r="E171" s="4"/>
      <c r="F171" s="4"/>
    </row>
    <row r="172">
      <c r="A172" s="4"/>
      <c r="B172" s="4"/>
      <c r="C172" s="4"/>
      <c r="D172" s="4"/>
      <c r="E172" s="4"/>
      <c r="F172" s="4"/>
    </row>
    <row r="173">
      <c r="A173" s="4"/>
      <c r="B173" s="4"/>
      <c r="C173" s="4"/>
      <c r="D173" s="4"/>
      <c r="E173" s="4"/>
      <c r="F173" s="4"/>
    </row>
    <row r="174">
      <c r="A174" s="4"/>
      <c r="B174" s="4"/>
      <c r="C174" s="4"/>
      <c r="D174" s="4"/>
      <c r="E174" s="4"/>
      <c r="F174" s="4"/>
    </row>
    <row r="175">
      <c r="A175" s="4"/>
      <c r="B175" s="4"/>
      <c r="C175" s="4"/>
      <c r="D175" s="4"/>
      <c r="E175" s="4"/>
      <c r="F175" s="4"/>
    </row>
    <row r="176">
      <c r="A176" s="4"/>
      <c r="B176" s="4"/>
      <c r="C176" s="4"/>
      <c r="D176" s="4"/>
      <c r="E176" s="4"/>
      <c r="F176" s="4"/>
    </row>
    <row r="177">
      <c r="A177" s="4"/>
      <c r="B177" s="4"/>
      <c r="C177" s="4"/>
      <c r="D177" s="4"/>
      <c r="E177" s="4"/>
      <c r="F177" s="4"/>
    </row>
    <row r="178">
      <c r="A178" s="4"/>
      <c r="B178" s="4"/>
      <c r="C178" s="4"/>
      <c r="D178" s="4"/>
      <c r="E178" s="4"/>
      <c r="F178" s="4"/>
    </row>
    <row r="179">
      <c r="A179" s="4"/>
      <c r="B179" s="4"/>
      <c r="C179" s="4"/>
      <c r="D179" s="4"/>
      <c r="E179" s="4"/>
      <c r="F179" s="4"/>
    </row>
    <row r="180">
      <c r="A180" s="4"/>
      <c r="B180" s="4"/>
      <c r="C180" s="4"/>
      <c r="D180" s="4"/>
      <c r="E180" s="4"/>
      <c r="F180" s="4"/>
    </row>
    <row r="181">
      <c r="A181" s="4"/>
      <c r="B181" s="4"/>
      <c r="C181" s="4"/>
      <c r="D181" s="4"/>
      <c r="E181" s="4"/>
      <c r="F181" s="4"/>
    </row>
    <row r="182">
      <c r="A182" s="4"/>
      <c r="B182" s="4"/>
      <c r="C182" s="4"/>
      <c r="D182" s="4"/>
      <c r="E182" s="4"/>
      <c r="F182" s="4"/>
    </row>
    <row r="183">
      <c r="A183" s="4"/>
      <c r="B183" s="4"/>
      <c r="C183" s="4"/>
      <c r="D183" s="4"/>
      <c r="E183" s="4"/>
      <c r="F183" s="4"/>
    </row>
    <row r="184">
      <c r="A184" s="4"/>
      <c r="B184" s="4"/>
      <c r="C184" s="4"/>
      <c r="D184" s="4"/>
      <c r="E184" s="4"/>
      <c r="F184" s="4"/>
    </row>
    <row r="185">
      <c r="A185" s="4"/>
      <c r="B185" s="4"/>
      <c r="C185" s="4"/>
      <c r="D185" s="4"/>
      <c r="E185" s="4"/>
      <c r="F185" s="4"/>
    </row>
    <row r="186">
      <c r="A186" s="4"/>
      <c r="B186" s="4"/>
      <c r="C186" s="4"/>
      <c r="D186" s="4"/>
      <c r="E186" s="4"/>
      <c r="F186" s="4"/>
    </row>
    <row r="187">
      <c r="A187" s="4"/>
      <c r="B187" s="4"/>
      <c r="C187" s="4"/>
      <c r="D187" s="4"/>
      <c r="E187" s="4"/>
      <c r="F187" s="4"/>
    </row>
    <row r="188">
      <c r="A188" s="4"/>
      <c r="B188" s="4"/>
      <c r="C188" s="4"/>
      <c r="D188" s="4"/>
      <c r="E188" s="4"/>
      <c r="F188" s="4"/>
    </row>
    <row r="189">
      <c r="A189" s="4"/>
      <c r="B189" s="4"/>
      <c r="C189" s="4"/>
      <c r="D189" s="4"/>
      <c r="E189" s="4"/>
      <c r="F189" s="4"/>
    </row>
    <row r="190">
      <c r="A190" s="4"/>
      <c r="B190" s="4"/>
      <c r="C190" s="4"/>
      <c r="D190" s="4"/>
      <c r="E190" s="4"/>
      <c r="F190" s="4"/>
    </row>
    <row r="191">
      <c r="A191" s="4"/>
      <c r="B191" s="4"/>
      <c r="C191" s="4"/>
      <c r="D191" s="4"/>
      <c r="E191" s="4"/>
      <c r="F191" s="4"/>
    </row>
    <row r="192">
      <c r="A192" s="4"/>
      <c r="B192" s="4"/>
      <c r="C192" s="4"/>
      <c r="D192" s="4"/>
      <c r="E192" s="4"/>
      <c r="F192" s="4"/>
    </row>
    <row r="193">
      <c r="A193" s="4"/>
      <c r="B193" s="4"/>
      <c r="C193" s="4"/>
      <c r="D193" s="4"/>
      <c r="E193" s="4"/>
      <c r="F193" s="4"/>
    </row>
    <row r="194">
      <c r="A194" s="4"/>
      <c r="B194" s="4"/>
      <c r="C194" s="4"/>
      <c r="D194" s="4"/>
      <c r="E194" s="4"/>
      <c r="F194" s="4"/>
    </row>
    <row r="195">
      <c r="A195" s="4"/>
      <c r="B195" s="4"/>
      <c r="C195" s="4"/>
      <c r="D195" s="4"/>
      <c r="E195" s="4"/>
      <c r="F195" s="4"/>
    </row>
    <row r="196">
      <c r="A196" s="4"/>
      <c r="B196" s="4"/>
      <c r="C196" s="4"/>
      <c r="D196" s="4"/>
      <c r="E196" s="4"/>
      <c r="F196" s="4"/>
    </row>
    <row r="197">
      <c r="A197" s="4"/>
      <c r="B197" s="4"/>
      <c r="C197" s="4"/>
      <c r="D197" s="4"/>
      <c r="E197" s="4"/>
      <c r="F197" s="4"/>
    </row>
    <row r="198">
      <c r="A198" s="4"/>
      <c r="B198" s="4"/>
      <c r="C198" s="4"/>
      <c r="D198" s="4"/>
      <c r="E198" s="4"/>
      <c r="F198" s="4"/>
    </row>
    <row r="199">
      <c r="A199" s="4"/>
      <c r="B199" s="4"/>
      <c r="C199" s="4"/>
      <c r="D199" s="4"/>
      <c r="E199" s="4"/>
      <c r="F199" s="4"/>
    </row>
    <row r="200">
      <c r="A200" s="4"/>
      <c r="B200" s="4"/>
      <c r="C200" s="4"/>
      <c r="D200" s="4"/>
      <c r="E200" s="4"/>
      <c r="F200" s="4"/>
    </row>
    <row r="201">
      <c r="A201" s="4"/>
      <c r="B201" s="4"/>
      <c r="C201" s="4"/>
      <c r="D201" s="4"/>
      <c r="E201" s="4"/>
      <c r="F201" s="4"/>
    </row>
    <row r="202">
      <c r="A202" s="4"/>
      <c r="B202" s="4"/>
      <c r="C202" s="4"/>
      <c r="D202" s="4"/>
      <c r="E202" s="4"/>
      <c r="F202" s="4"/>
    </row>
    <row r="203">
      <c r="A203" s="4"/>
      <c r="B203" s="4"/>
      <c r="C203" s="4"/>
      <c r="D203" s="4"/>
      <c r="E203" s="4"/>
      <c r="F203" s="4"/>
    </row>
    <row r="204">
      <c r="A204" s="4"/>
      <c r="B204" s="4"/>
      <c r="C204" s="4"/>
      <c r="D204" s="4"/>
      <c r="E204" s="4"/>
      <c r="F204" s="4"/>
    </row>
    <row r="205">
      <c r="A205" s="4"/>
      <c r="B205" s="4"/>
      <c r="C205" s="4"/>
      <c r="D205" s="4"/>
      <c r="E205" s="4"/>
      <c r="F205" s="4"/>
    </row>
    <row r="206">
      <c r="A206" s="4"/>
      <c r="B206" s="4"/>
      <c r="C206" s="4"/>
      <c r="D206" s="4"/>
      <c r="E206" s="4"/>
      <c r="F206" s="4"/>
    </row>
    <row r="207">
      <c r="A207" s="4"/>
      <c r="B207" s="4"/>
      <c r="C207" s="4"/>
      <c r="D207" s="4"/>
      <c r="E207" s="4"/>
      <c r="F207" s="4"/>
    </row>
    <row r="208">
      <c r="A208" s="4"/>
      <c r="B208" s="4"/>
      <c r="C208" s="4"/>
      <c r="D208" s="4"/>
      <c r="E208" s="4"/>
      <c r="F208" s="4"/>
    </row>
    <row r="209">
      <c r="A209" s="4"/>
      <c r="B209" s="4"/>
      <c r="C209" s="4"/>
      <c r="D209" s="4"/>
      <c r="E209" s="4"/>
      <c r="F209" s="4"/>
    </row>
    <row r="210">
      <c r="A210" s="4"/>
      <c r="B210" s="4"/>
      <c r="C210" s="4"/>
      <c r="D210" s="4"/>
      <c r="E210" s="4"/>
      <c r="F210" s="4"/>
    </row>
    <row r="211">
      <c r="A211" s="4"/>
      <c r="B211" s="4"/>
      <c r="C211" s="4"/>
      <c r="D211" s="4"/>
      <c r="E211" s="4"/>
      <c r="F211" s="4"/>
    </row>
    <row r="212">
      <c r="A212" s="4"/>
      <c r="B212" s="4"/>
      <c r="C212" s="4"/>
      <c r="D212" s="4"/>
      <c r="E212" s="4"/>
      <c r="F212" s="4"/>
    </row>
    <row r="213">
      <c r="A213" s="4"/>
      <c r="B213" s="4"/>
      <c r="C213" s="4"/>
      <c r="D213" s="4"/>
      <c r="E213" s="4"/>
      <c r="F213" s="4"/>
    </row>
    <row r="214">
      <c r="A214" s="4"/>
      <c r="B214" s="4"/>
      <c r="C214" s="4"/>
      <c r="D214" s="4"/>
      <c r="E214" s="4"/>
      <c r="F214" s="4"/>
    </row>
    <row r="215">
      <c r="A215" s="4"/>
      <c r="B215" s="4"/>
      <c r="C215" s="4"/>
      <c r="D215" s="4"/>
      <c r="E215" s="4"/>
      <c r="F215" s="4"/>
    </row>
    <row r="216">
      <c r="A216" s="4"/>
      <c r="B216" s="4"/>
      <c r="C216" s="4"/>
      <c r="D216" s="4"/>
      <c r="E216" s="4"/>
      <c r="F216" s="4"/>
    </row>
    <row r="217">
      <c r="A217" s="4"/>
      <c r="B217" s="4"/>
      <c r="C217" s="4"/>
      <c r="D217" s="4"/>
      <c r="E217" s="4"/>
      <c r="F217" s="4"/>
    </row>
    <row r="218">
      <c r="A218" s="4"/>
      <c r="B218" s="4"/>
      <c r="C218" s="4"/>
      <c r="D218" s="4"/>
      <c r="E218" s="4"/>
      <c r="F218" s="4"/>
    </row>
    <row r="219">
      <c r="A219" s="4"/>
      <c r="B219" s="4"/>
      <c r="C219" s="4"/>
      <c r="D219" s="4"/>
      <c r="E219" s="4"/>
      <c r="F219" s="4"/>
    </row>
    <row r="220">
      <c r="A220" s="4"/>
      <c r="B220" s="4"/>
      <c r="C220" s="4"/>
      <c r="D220" s="4"/>
      <c r="E220" s="4"/>
      <c r="F220" s="4"/>
    </row>
    <row r="221">
      <c r="A221" s="4"/>
      <c r="B221" s="4"/>
      <c r="C221" s="4"/>
      <c r="D221" s="4"/>
      <c r="E221" s="4"/>
      <c r="F221" s="4"/>
    </row>
    <row r="222">
      <c r="A222" s="4"/>
      <c r="B222" s="4"/>
      <c r="C222" s="4"/>
      <c r="D222" s="4"/>
      <c r="E222" s="4"/>
      <c r="F222" s="4"/>
    </row>
    <row r="223">
      <c r="A223" s="4"/>
      <c r="B223" s="4"/>
      <c r="C223" s="4"/>
      <c r="D223" s="4"/>
      <c r="E223" s="4"/>
      <c r="F223" s="4"/>
    </row>
    <row r="224">
      <c r="A224" s="4"/>
      <c r="B224" s="4"/>
      <c r="C224" s="4"/>
      <c r="D224" s="4"/>
      <c r="E224" s="4"/>
      <c r="F224" s="4"/>
    </row>
    <row r="225">
      <c r="A225" s="4"/>
      <c r="B225" s="4"/>
      <c r="C225" s="4"/>
      <c r="D225" s="4"/>
      <c r="E225" s="4"/>
      <c r="F225" s="4"/>
    </row>
    <row r="226">
      <c r="A226" s="4"/>
      <c r="B226" s="4"/>
      <c r="C226" s="4"/>
      <c r="D226" s="4"/>
      <c r="E226" s="4"/>
      <c r="F226" s="4"/>
    </row>
    <row r="227">
      <c r="A227" s="4"/>
      <c r="B227" s="4"/>
      <c r="C227" s="4"/>
      <c r="D227" s="4"/>
      <c r="E227" s="4"/>
      <c r="F227" s="4"/>
    </row>
    <row r="228">
      <c r="A228" s="4"/>
      <c r="B228" s="4"/>
      <c r="C228" s="4"/>
      <c r="D228" s="4"/>
      <c r="E228" s="4"/>
      <c r="F228" s="4"/>
    </row>
    <row r="229">
      <c r="A229" s="4"/>
      <c r="B229" s="4"/>
      <c r="C229" s="4"/>
      <c r="D229" s="4"/>
      <c r="E229" s="4"/>
      <c r="F229" s="4"/>
    </row>
    <row r="230">
      <c r="A230" s="4"/>
      <c r="B230" s="4"/>
      <c r="C230" s="4"/>
      <c r="D230" s="4"/>
      <c r="E230" s="4"/>
      <c r="F230" s="4"/>
    </row>
    <row r="231">
      <c r="A231" s="4"/>
      <c r="B231" s="4"/>
      <c r="C231" s="4"/>
      <c r="D231" s="4"/>
      <c r="E231" s="4"/>
      <c r="F231" s="4"/>
    </row>
    <row r="232">
      <c r="A232" s="4"/>
      <c r="B232" s="4"/>
      <c r="C232" s="4"/>
      <c r="D232" s="4"/>
      <c r="E232" s="4"/>
      <c r="F232" s="4"/>
    </row>
    <row r="233">
      <c r="A233" s="4"/>
      <c r="B233" s="4"/>
      <c r="C233" s="4"/>
      <c r="D233" s="4"/>
      <c r="E233" s="4"/>
      <c r="F233" s="4"/>
    </row>
    <row r="234">
      <c r="A234" s="4"/>
      <c r="B234" s="4"/>
      <c r="C234" s="4"/>
      <c r="D234" s="4"/>
      <c r="E234" s="4"/>
      <c r="F234" s="4"/>
    </row>
    <row r="235">
      <c r="A235" s="4"/>
      <c r="B235" s="4"/>
      <c r="C235" s="4"/>
      <c r="D235" s="4"/>
      <c r="E235" s="4"/>
      <c r="F235" s="4"/>
    </row>
    <row r="236">
      <c r="A236" s="4"/>
      <c r="B236" s="4"/>
      <c r="C236" s="4"/>
      <c r="D236" s="4"/>
      <c r="E236" s="4"/>
      <c r="F236" s="4"/>
    </row>
    <row r="237">
      <c r="A237" s="4"/>
      <c r="B237" s="4"/>
      <c r="C237" s="4"/>
      <c r="D237" s="4"/>
      <c r="E237" s="4"/>
      <c r="F237" s="4"/>
    </row>
    <row r="238">
      <c r="A238" s="4"/>
      <c r="B238" s="4"/>
      <c r="C238" s="4"/>
      <c r="D238" s="4"/>
      <c r="E238" s="4"/>
      <c r="F238" s="4"/>
    </row>
    <row r="239">
      <c r="A239" s="4"/>
      <c r="B239" s="4"/>
      <c r="C239" s="4"/>
      <c r="D239" s="4"/>
      <c r="E239" s="4"/>
      <c r="F239" s="4"/>
    </row>
    <row r="240">
      <c r="A240" s="4"/>
      <c r="B240" s="4"/>
      <c r="C240" s="4"/>
      <c r="D240" s="4"/>
      <c r="E240" s="4"/>
      <c r="F240" s="4"/>
    </row>
    <row r="241">
      <c r="A241" s="4"/>
      <c r="B241" s="4"/>
      <c r="C241" s="4"/>
      <c r="D241" s="4"/>
      <c r="E241" s="4"/>
      <c r="F241" s="4"/>
    </row>
    <row r="242">
      <c r="A242" s="4"/>
      <c r="B242" s="4"/>
      <c r="C242" s="4"/>
      <c r="D242" s="4"/>
      <c r="E242" s="4"/>
      <c r="F242" s="4"/>
    </row>
    <row r="243">
      <c r="A243" s="4"/>
      <c r="B243" s="4"/>
      <c r="C243" s="4"/>
      <c r="D243" s="4"/>
      <c r="E243" s="4"/>
      <c r="F243" s="4"/>
    </row>
    <row r="244">
      <c r="A244" s="4"/>
      <c r="B244" s="4"/>
      <c r="C244" s="4"/>
      <c r="D244" s="4"/>
      <c r="E244" s="4"/>
      <c r="F244" s="4"/>
    </row>
    <row r="245">
      <c r="A245" s="4"/>
      <c r="B245" s="4"/>
      <c r="C245" s="4"/>
      <c r="D245" s="4"/>
      <c r="E245" s="4"/>
      <c r="F245" s="4"/>
    </row>
    <row r="246">
      <c r="A246" s="4"/>
      <c r="B246" s="4"/>
      <c r="C246" s="4"/>
      <c r="D246" s="4"/>
      <c r="E246" s="4"/>
      <c r="F246" s="4"/>
    </row>
    <row r="247">
      <c r="A247" s="4"/>
      <c r="B247" s="4"/>
      <c r="C247" s="4"/>
      <c r="D247" s="4"/>
      <c r="E247" s="4"/>
      <c r="F247" s="4"/>
    </row>
    <row r="248">
      <c r="A248" s="4"/>
      <c r="B248" s="4"/>
      <c r="C248" s="4"/>
      <c r="D248" s="4"/>
      <c r="E248" s="4"/>
      <c r="F248" s="4"/>
    </row>
    <row r="249">
      <c r="A249" s="4"/>
      <c r="B249" s="4"/>
      <c r="C249" s="4"/>
      <c r="D249" s="4"/>
      <c r="E249" s="4"/>
      <c r="F249" s="4"/>
    </row>
    <row r="250">
      <c r="A250" s="4"/>
      <c r="B250" s="4"/>
      <c r="C250" s="4"/>
      <c r="D250" s="4"/>
      <c r="E250" s="4"/>
      <c r="F250" s="4"/>
    </row>
    <row r="251">
      <c r="A251" s="4"/>
      <c r="B251" s="4"/>
      <c r="C251" s="4"/>
      <c r="D251" s="4"/>
      <c r="E251" s="4"/>
      <c r="F251" s="4"/>
    </row>
    <row r="252">
      <c r="A252" s="4"/>
      <c r="B252" s="4"/>
      <c r="C252" s="4"/>
      <c r="D252" s="4"/>
      <c r="E252" s="4"/>
      <c r="F252" s="4"/>
    </row>
    <row r="253">
      <c r="A253" s="4"/>
      <c r="B253" s="4"/>
      <c r="C253" s="4"/>
      <c r="D253" s="4"/>
      <c r="E253" s="4"/>
      <c r="F253" s="4"/>
    </row>
    <row r="254">
      <c r="A254" s="4"/>
      <c r="B254" s="4"/>
      <c r="C254" s="4"/>
      <c r="D254" s="4"/>
      <c r="E254" s="4"/>
      <c r="F254" s="4"/>
    </row>
    <row r="255">
      <c r="A255" s="4"/>
      <c r="B255" s="4"/>
      <c r="C255" s="4"/>
      <c r="D255" s="4"/>
      <c r="E255" s="4"/>
      <c r="F255" s="4"/>
    </row>
    <row r="256">
      <c r="A256" s="4"/>
      <c r="B256" s="4"/>
      <c r="C256" s="4"/>
      <c r="D256" s="4"/>
      <c r="E256" s="4"/>
      <c r="F256" s="4"/>
    </row>
    <row r="257">
      <c r="A257" s="4"/>
      <c r="B257" s="4"/>
      <c r="C257" s="4"/>
      <c r="D257" s="4"/>
      <c r="E257" s="4"/>
      <c r="F257" s="4"/>
    </row>
    <row r="258">
      <c r="A258" s="4"/>
      <c r="B258" s="4"/>
      <c r="C258" s="4"/>
      <c r="D258" s="4"/>
      <c r="E258" s="4"/>
      <c r="F258" s="4"/>
    </row>
    <row r="259">
      <c r="A259" s="4"/>
      <c r="B259" s="4"/>
      <c r="C259" s="4"/>
      <c r="D259" s="4"/>
      <c r="E259" s="4"/>
      <c r="F259" s="4"/>
    </row>
    <row r="260">
      <c r="A260" s="4"/>
      <c r="B260" s="4"/>
      <c r="C260" s="4"/>
      <c r="D260" s="4"/>
      <c r="E260" s="4"/>
      <c r="F260" s="4"/>
    </row>
    <row r="261">
      <c r="A261" s="4"/>
      <c r="B261" s="4"/>
      <c r="C261" s="4"/>
      <c r="D261" s="4"/>
      <c r="E261" s="4"/>
      <c r="F261" s="4"/>
    </row>
    <row r="262">
      <c r="A262" s="4"/>
      <c r="B262" s="4"/>
      <c r="C262" s="4"/>
      <c r="D262" s="4"/>
      <c r="E262" s="4"/>
      <c r="F262" s="4"/>
    </row>
    <row r="263">
      <c r="A263" s="4"/>
      <c r="B263" s="4"/>
      <c r="C263" s="4"/>
      <c r="D263" s="4"/>
      <c r="E263" s="4"/>
      <c r="F263" s="4"/>
    </row>
    <row r="264">
      <c r="A264" s="4"/>
      <c r="B264" s="4"/>
      <c r="C264" s="4"/>
      <c r="D264" s="4"/>
      <c r="E264" s="4"/>
      <c r="F264" s="4"/>
    </row>
    <row r="265">
      <c r="A265" s="4"/>
      <c r="B265" s="4"/>
      <c r="C265" s="4"/>
      <c r="D265" s="4"/>
      <c r="E265" s="4"/>
      <c r="F265" s="4"/>
    </row>
    <row r="266">
      <c r="A266" s="4"/>
      <c r="B266" s="4"/>
      <c r="C266" s="4"/>
      <c r="D266" s="4"/>
      <c r="E266" s="4"/>
      <c r="F266" s="4"/>
    </row>
    <row r="267">
      <c r="A267" s="4"/>
      <c r="B267" s="4"/>
      <c r="C267" s="4"/>
      <c r="D267" s="4"/>
      <c r="E267" s="4"/>
      <c r="F267" s="4"/>
    </row>
    <row r="268">
      <c r="A268" s="4"/>
      <c r="B268" s="4"/>
      <c r="C268" s="4"/>
      <c r="D268" s="4"/>
      <c r="E268" s="4"/>
      <c r="F268" s="4"/>
    </row>
    <row r="269">
      <c r="A269" s="4"/>
      <c r="B269" s="4"/>
      <c r="C269" s="4"/>
      <c r="D269" s="4"/>
      <c r="E269" s="4"/>
      <c r="F269" s="4"/>
    </row>
    <row r="270">
      <c r="A270" s="4"/>
      <c r="B270" s="4"/>
      <c r="C270" s="4"/>
      <c r="D270" s="4"/>
      <c r="E270" s="4"/>
      <c r="F270" s="4"/>
    </row>
    <row r="271">
      <c r="A271" s="4"/>
      <c r="B271" s="4"/>
      <c r="C271" s="4"/>
      <c r="D271" s="4"/>
      <c r="E271" s="4"/>
      <c r="F271" s="4"/>
    </row>
    <row r="272">
      <c r="A272" s="4"/>
      <c r="B272" s="4"/>
      <c r="C272" s="4"/>
      <c r="D272" s="4"/>
      <c r="E272" s="4"/>
      <c r="F272" s="4"/>
    </row>
    <row r="273">
      <c r="A273" s="4"/>
      <c r="B273" s="4"/>
      <c r="C273" s="4"/>
      <c r="D273" s="4"/>
      <c r="E273" s="4"/>
      <c r="F273" s="4"/>
    </row>
    <row r="274">
      <c r="A274" s="4"/>
      <c r="B274" s="4"/>
      <c r="C274" s="4"/>
      <c r="D274" s="4"/>
      <c r="E274" s="4"/>
      <c r="F274" s="4"/>
    </row>
    <row r="275">
      <c r="A275" s="4"/>
      <c r="B275" s="4"/>
      <c r="C275" s="4"/>
      <c r="D275" s="4"/>
      <c r="E275" s="4"/>
      <c r="F275" s="4"/>
    </row>
    <row r="276">
      <c r="A276" s="4"/>
      <c r="B276" s="4"/>
      <c r="C276" s="4"/>
      <c r="D276" s="4"/>
      <c r="E276" s="4"/>
      <c r="F276" s="4"/>
    </row>
    <row r="277">
      <c r="A277" s="4"/>
      <c r="B277" s="4"/>
      <c r="C277" s="4"/>
      <c r="D277" s="4"/>
      <c r="E277" s="4"/>
      <c r="F277" s="4"/>
    </row>
    <row r="278">
      <c r="A278" s="4"/>
      <c r="B278" s="4"/>
      <c r="C278" s="4"/>
      <c r="D278" s="4"/>
      <c r="E278" s="4"/>
      <c r="F278" s="4"/>
    </row>
    <row r="279">
      <c r="A279" s="4"/>
      <c r="B279" s="4"/>
      <c r="C279" s="4"/>
      <c r="D279" s="4"/>
      <c r="E279" s="4"/>
      <c r="F279" s="4"/>
    </row>
    <row r="280">
      <c r="A280" s="4"/>
      <c r="B280" s="4"/>
      <c r="C280" s="4"/>
      <c r="D280" s="4"/>
      <c r="E280" s="4"/>
      <c r="F280" s="4"/>
    </row>
    <row r="281">
      <c r="A281" s="4"/>
      <c r="B281" s="4"/>
      <c r="C281" s="4"/>
      <c r="D281" s="4"/>
      <c r="E281" s="4"/>
      <c r="F281" s="4"/>
    </row>
    <row r="282">
      <c r="A282" s="4"/>
      <c r="B282" s="4"/>
      <c r="C282" s="4"/>
      <c r="D282" s="4"/>
      <c r="E282" s="4"/>
      <c r="F282" s="4"/>
    </row>
    <row r="283">
      <c r="A283" s="4"/>
      <c r="B283" s="4"/>
      <c r="C283" s="4"/>
      <c r="D283" s="4"/>
      <c r="E283" s="4"/>
      <c r="F283" s="4"/>
    </row>
    <row r="284">
      <c r="A284" s="4"/>
      <c r="B284" s="4"/>
      <c r="C284" s="4"/>
      <c r="D284" s="4"/>
      <c r="E284" s="4"/>
      <c r="F284" s="4"/>
    </row>
    <row r="285">
      <c r="A285" s="4"/>
      <c r="B285" s="4"/>
      <c r="C285" s="4"/>
      <c r="D285" s="4"/>
      <c r="E285" s="4"/>
      <c r="F285" s="4"/>
    </row>
    <row r="286">
      <c r="A286" s="4"/>
      <c r="B286" s="4"/>
      <c r="C286" s="4"/>
      <c r="D286" s="4"/>
      <c r="E286" s="4"/>
      <c r="F286" s="4"/>
    </row>
    <row r="287">
      <c r="A287" s="4"/>
      <c r="B287" s="4"/>
      <c r="C287" s="4"/>
      <c r="D287" s="4"/>
      <c r="E287" s="4"/>
      <c r="F287" s="4"/>
    </row>
    <row r="288">
      <c r="A288" s="4"/>
      <c r="B288" s="4"/>
      <c r="C288" s="4"/>
      <c r="D288" s="4"/>
      <c r="E288" s="4"/>
      <c r="F288" s="4"/>
    </row>
    <row r="289">
      <c r="A289" s="4"/>
      <c r="B289" s="4"/>
      <c r="C289" s="4"/>
      <c r="D289" s="4"/>
      <c r="E289" s="4"/>
      <c r="F289" s="4"/>
    </row>
    <row r="290">
      <c r="A290" s="4"/>
      <c r="B290" s="4"/>
      <c r="C290" s="4"/>
      <c r="D290" s="4"/>
      <c r="E290" s="4"/>
      <c r="F290" s="4"/>
    </row>
    <row r="291">
      <c r="A291" s="4"/>
      <c r="B291" s="4"/>
      <c r="C291" s="4"/>
      <c r="D291" s="4"/>
      <c r="E291" s="4"/>
      <c r="F291" s="4"/>
    </row>
    <row r="292">
      <c r="A292" s="4"/>
      <c r="B292" s="4"/>
      <c r="C292" s="4"/>
      <c r="D292" s="4"/>
      <c r="E292" s="4"/>
      <c r="F292" s="4"/>
    </row>
    <row r="293">
      <c r="A293" s="4"/>
      <c r="B293" s="4"/>
      <c r="C293" s="4"/>
      <c r="D293" s="4"/>
      <c r="E293" s="4"/>
      <c r="F293" s="4"/>
    </row>
    <row r="294">
      <c r="A294" s="4"/>
      <c r="B294" s="4"/>
      <c r="C294" s="4"/>
      <c r="D294" s="4"/>
      <c r="E294" s="4"/>
      <c r="F294" s="4"/>
    </row>
    <row r="295">
      <c r="A295" s="4"/>
      <c r="B295" s="4"/>
      <c r="C295" s="4"/>
      <c r="D295" s="4"/>
      <c r="E295" s="4"/>
      <c r="F295" s="4"/>
    </row>
    <row r="296">
      <c r="A296" s="4"/>
      <c r="B296" s="4"/>
      <c r="C296" s="4"/>
      <c r="D296" s="4"/>
      <c r="E296" s="4"/>
      <c r="F296" s="4"/>
    </row>
    <row r="297">
      <c r="A297" s="4"/>
      <c r="B297" s="4"/>
      <c r="C297" s="4"/>
      <c r="D297" s="4"/>
      <c r="E297" s="4"/>
      <c r="F297" s="4"/>
    </row>
    <row r="298">
      <c r="A298" s="4"/>
      <c r="B298" s="4"/>
      <c r="C298" s="4"/>
      <c r="D298" s="4"/>
      <c r="E298" s="4"/>
      <c r="F298" s="4"/>
    </row>
    <row r="299">
      <c r="A299" s="4"/>
      <c r="B299" s="4"/>
      <c r="C299" s="4"/>
      <c r="D299" s="4"/>
      <c r="E299" s="4"/>
      <c r="F299" s="4"/>
    </row>
    <row r="300">
      <c r="A300" s="4"/>
      <c r="B300" s="4"/>
      <c r="C300" s="4"/>
      <c r="D300" s="4"/>
      <c r="E300" s="4"/>
      <c r="F300" s="4"/>
    </row>
    <row r="301">
      <c r="A301" s="4"/>
      <c r="B301" s="4"/>
      <c r="C301" s="4"/>
      <c r="D301" s="4"/>
      <c r="E301" s="4"/>
      <c r="F301" s="4"/>
    </row>
    <row r="302">
      <c r="A302" s="4"/>
      <c r="B302" s="4"/>
      <c r="C302" s="4"/>
      <c r="D302" s="4"/>
      <c r="E302" s="4"/>
      <c r="F302" s="4"/>
    </row>
    <row r="303">
      <c r="A303" s="4"/>
      <c r="B303" s="4"/>
      <c r="C303" s="4"/>
      <c r="D303" s="4"/>
      <c r="E303" s="4"/>
      <c r="F303" s="4"/>
    </row>
    <row r="304">
      <c r="A304" s="4"/>
      <c r="B304" s="4"/>
      <c r="C304" s="4"/>
      <c r="D304" s="4"/>
      <c r="E304" s="4"/>
      <c r="F304" s="4"/>
    </row>
    <row r="305">
      <c r="A305" s="4"/>
      <c r="B305" s="4"/>
      <c r="C305" s="4"/>
      <c r="D305" s="4"/>
      <c r="E305" s="4"/>
      <c r="F305" s="4"/>
    </row>
    <row r="306">
      <c r="A306" s="4"/>
      <c r="B306" s="4"/>
      <c r="C306" s="4"/>
      <c r="D306" s="4"/>
      <c r="E306" s="4"/>
      <c r="F306" s="4"/>
    </row>
    <row r="307">
      <c r="A307" s="4"/>
      <c r="B307" s="4"/>
      <c r="C307" s="4"/>
      <c r="D307" s="4"/>
      <c r="E307" s="4"/>
      <c r="F307" s="4"/>
    </row>
    <row r="308">
      <c r="A308" s="4"/>
      <c r="B308" s="4"/>
      <c r="C308" s="4"/>
      <c r="D308" s="4"/>
      <c r="E308" s="4"/>
      <c r="F308" s="4"/>
    </row>
    <row r="309">
      <c r="A309" s="4"/>
      <c r="B309" s="4"/>
      <c r="C309" s="4"/>
      <c r="D309" s="4"/>
      <c r="E309" s="4"/>
      <c r="F309" s="4"/>
    </row>
    <row r="310">
      <c r="A310" s="4"/>
      <c r="B310" s="4"/>
      <c r="C310" s="4"/>
      <c r="D310" s="4"/>
      <c r="E310" s="4"/>
      <c r="F310" s="4"/>
    </row>
    <row r="311">
      <c r="A311" s="4"/>
      <c r="B311" s="4"/>
      <c r="C311" s="4"/>
      <c r="D311" s="4"/>
      <c r="E311" s="4"/>
      <c r="F311" s="4"/>
    </row>
    <row r="312">
      <c r="A312" s="4"/>
      <c r="B312" s="4"/>
      <c r="C312" s="4"/>
      <c r="D312" s="4"/>
      <c r="E312" s="4"/>
      <c r="F312" s="4"/>
    </row>
    <row r="313">
      <c r="A313" s="4"/>
      <c r="B313" s="4"/>
      <c r="C313" s="4"/>
      <c r="D313" s="4"/>
      <c r="E313" s="4"/>
      <c r="F313" s="4"/>
    </row>
    <row r="314">
      <c r="A314" s="4"/>
      <c r="B314" s="4"/>
      <c r="C314" s="4"/>
      <c r="D314" s="4"/>
      <c r="E314" s="4"/>
      <c r="F314" s="4"/>
    </row>
    <row r="315">
      <c r="A315" s="4"/>
      <c r="B315" s="4"/>
      <c r="C315" s="4"/>
      <c r="D315" s="4"/>
      <c r="E315" s="4"/>
      <c r="F315" s="4"/>
    </row>
    <row r="316">
      <c r="A316" s="4"/>
      <c r="B316" s="4"/>
      <c r="C316" s="4"/>
      <c r="D316" s="4"/>
      <c r="E316" s="4"/>
      <c r="F316" s="4"/>
    </row>
    <row r="317">
      <c r="A317" s="4"/>
      <c r="B317" s="4"/>
      <c r="C317" s="4"/>
      <c r="D317" s="4"/>
      <c r="E317" s="4"/>
      <c r="F317" s="4"/>
    </row>
    <row r="318">
      <c r="A318" s="4"/>
      <c r="B318" s="4"/>
      <c r="C318" s="4"/>
      <c r="D318" s="4"/>
      <c r="E318" s="4"/>
      <c r="F318" s="4"/>
    </row>
    <row r="319">
      <c r="A319" s="4"/>
      <c r="B319" s="4"/>
      <c r="C319" s="4"/>
      <c r="D319" s="4"/>
      <c r="E319" s="4"/>
      <c r="F319" s="4"/>
    </row>
    <row r="320">
      <c r="A320" s="4"/>
      <c r="B320" s="4"/>
      <c r="C320" s="4"/>
      <c r="D320" s="4"/>
      <c r="E320" s="4"/>
      <c r="F320" s="4"/>
    </row>
    <row r="321">
      <c r="A321" s="4"/>
      <c r="B321" s="4"/>
      <c r="C321" s="4"/>
      <c r="D321" s="4"/>
      <c r="E321" s="4"/>
      <c r="F321" s="4"/>
    </row>
    <row r="322">
      <c r="A322" s="4"/>
      <c r="B322" s="4"/>
      <c r="C322" s="4"/>
      <c r="D322" s="4"/>
      <c r="E322" s="4"/>
      <c r="F322" s="4"/>
    </row>
    <row r="323">
      <c r="A323" s="4"/>
      <c r="B323" s="4"/>
      <c r="C323" s="4"/>
      <c r="D323" s="4"/>
      <c r="E323" s="4"/>
      <c r="F323" s="4"/>
    </row>
    <row r="324">
      <c r="A324" s="4"/>
      <c r="B324" s="4"/>
      <c r="C324" s="4"/>
      <c r="D324" s="4"/>
      <c r="E324" s="4"/>
      <c r="F324" s="4"/>
    </row>
    <row r="325">
      <c r="A325" s="4"/>
      <c r="B325" s="4"/>
      <c r="C325" s="4"/>
      <c r="D325" s="4"/>
      <c r="E325" s="4"/>
      <c r="F325" s="4"/>
    </row>
    <row r="326">
      <c r="A326" s="4"/>
      <c r="B326" s="4"/>
      <c r="C326" s="4"/>
      <c r="D326" s="4"/>
      <c r="E326" s="4"/>
      <c r="F326" s="4"/>
    </row>
    <row r="327">
      <c r="A327" s="4"/>
      <c r="B327" s="4"/>
      <c r="C327" s="4"/>
      <c r="D327" s="4"/>
      <c r="E327" s="4"/>
      <c r="F327" s="4"/>
    </row>
    <row r="328">
      <c r="A328" s="4"/>
      <c r="B328" s="4"/>
      <c r="C328" s="4"/>
      <c r="D328" s="4"/>
      <c r="E328" s="4"/>
      <c r="F328" s="4"/>
    </row>
    <row r="329">
      <c r="A329" s="4"/>
      <c r="B329" s="4"/>
      <c r="C329" s="4"/>
      <c r="D329" s="4"/>
      <c r="E329" s="4"/>
      <c r="F329" s="4"/>
    </row>
    <row r="330">
      <c r="A330" s="4"/>
      <c r="B330" s="4"/>
      <c r="C330" s="4"/>
      <c r="D330" s="4"/>
      <c r="E330" s="4"/>
      <c r="F330" s="4"/>
    </row>
    <row r="331">
      <c r="A331" s="4"/>
      <c r="B331" s="4"/>
      <c r="C331" s="4"/>
      <c r="D331" s="4"/>
      <c r="E331" s="4"/>
      <c r="F331" s="4"/>
    </row>
    <row r="332">
      <c r="A332" s="4"/>
      <c r="B332" s="4"/>
      <c r="C332" s="4"/>
      <c r="D332" s="4"/>
      <c r="E332" s="4"/>
      <c r="F332" s="4"/>
    </row>
    <row r="333">
      <c r="A333" s="4"/>
      <c r="B333" s="4"/>
      <c r="C333" s="4"/>
      <c r="D333" s="4"/>
      <c r="E333" s="4"/>
      <c r="F333" s="4"/>
    </row>
    <row r="334">
      <c r="A334" s="4"/>
      <c r="B334" s="4"/>
      <c r="C334" s="4"/>
      <c r="D334" s="4"/>
      <c r="E334" s="4"/>
      <c r="F334" s="4"/>
    </row>
    <row r="335">
      <c r="A335" s="4"/>
      <c r="B335" s="4"/>
      <c r="C335" s="4"/>
      <c r="D335" s="4"/>
      <c r="E335" s="4"/>
      <c r="F335" s="4"/>
    </row>
    <row r="336">
      <c r="A336" s="4"/>
      <c r="B336" s="4"/>
      <c r="C336" s="4"/>
      <c r="D336" s="4"/>
      <c r="E336" s="4"/>
      <c r="F336" s="4"/>
    </row>
    <row r="337">
      <c r="A337" s="4"/>
      <c r="B337" s="4"/>
      <c r="C337" s="4"/>
      <c r="D337" s="4"/>
      <c r="E337" s="4"/>
      <c r="F337" s="4"/>
    </row>
    <row r="338">
      <c r="A338" s="4"/>
      <c r="B338" s="4"/>
      <c r="C338" s="4"/>
      <c r="D338" s="4"/>
      <c r="E338" s="4"/>
      <c r="F338" s="4"/>
    </row>
    <row r="339">
      <c r="A339" s="4"/>
      <c r="B339" s="4"/>
      <c r="C339" s="4"/>
      <c r="D339" s="4"/>
      <c r="E339" s="4"/>
      <c r="F339" s="4"/>
    </row>
    <row r="340">
      <c r="A340" s="4"/>
      <c r="B340" s="4"/>
      <c r="C340" s="4"/>
      <c r="D340" s="4"/>
      <c r="E340" s="4"/>
      <c r="F340" s="4"/>
    </row>
    <row r="341">
      <c r="A341" s="4"/>
      <c r="B341" s="4"/>
      <c r="C341" s="4"/>
      <c r="D341" s="4"/>
      <c r="E341" s="4"/>
      <c r="F341" s="4"/>
    </row>
    <row r="342">
      <c r="A342" s="4"/>
      <c r="B342" s="4"/>
      <c r="C342" s="4"/>
      <c r="D342" s="4"/>
      <c r="E342" s="4"/>
      <c r="F342" s="4"/>
    </row>
    <row r="343">
      <c r="A343" s="4"/>
      <c r="B343" s="4"/>
      <c r="C343" s="4"/>
      <c r="D343" s="4"/>
      <c r="E343" s="4"/>
      <c r="F343" s="4"/>
    </row>
    <row r="344">
      <c r="A344" s="4"/>
      <c r="B344" s="4"/>
      <c r="C344" s="4"/>
      <c r="D344" s="4"/>
      <c r="E344" s="4"/>
      <c r="F344" s="4"/>
    </row>
    <row r="345">
      <c r="A345" s="4"/>
      <c r="B345" s="4"/>
      <c r="C345" s="4"/>
      <c r="D345" s="4"/>
      <c r="E345" s="4"/>
      <c r="F345" s="4"/>
    </row>
    <row r="346">
      <c r="A346" s="4"/>
      <c r="B346" s="4"/>
      <c r="C346" s="4"/>
      <c r="D346" s="4"/>
      <c r="E346" s="4"/>
      <c r="F346" s="4"/>
    </row>
    <row r="347">
      <c r="A347" s="4"/>
      <c r="B347" s="4"/>
      <c r="C347" s="4"/>
      <c r="D347" s="4"/>
      <c r="E347" s="4"/>
      <c r="F347" s="4"/>
    </row>
    <row r="348">
      <c r="A348" s="4"/>
      <c r="B348" s="4"/>
      <c r="C348" s="4"/>
      <c r="D348" s="4"/>
      <c r="E348" s="4"/>
      <c r="F348" s="4"/>
    </row>
    <row r="349">
      <c r="A349" s="4"/>
      <c r="B349" s="4"/>
      <c r="C349" s="4"/>
      <c r="D349" s="4"/>
      <c r="E349" s="4"/>
      <c r="F349" s="4"/>
    </row>
    <row r="350">
      <c r="A350" s="4"/>
      <c r="B350" s="4"/>
      <c r="C350" s="4"/>
      <c r="D350" s="4"/>
      <c r="E350" s="4"/>
      <c r="F350" s="4"/>
    </row>
    <row r="351">
      <c r="A351" s="4"/>
      <c r="B351" s="4"/>
      <c r="C351" s="4"/>
      <c r="D351" s="4"/>
      <c r="E351" s="4"/>
      <c r="F351" s="4"/>
    </row>
    <row r="352">
      <c r="A352" s="4"/>
      <c r="B352" s="4"/>
      <c r="C352" s="4"/>
      <c r="D352" s="4"/>
      <c r="E352" s="4"/>
      <c r="F352" s="4"/>
    </row>
    <row r="353">
      <c r="A353" s="4"/>
      <c r="B353" s="4"/>
      <c r="C353" s="4"/>
      <c r="D353" s="4"/>
      <c r="E353" s="4"/>
      <c r="F353" s="4"/>
    </row>
    <row r="354">
      <c r="A354" s="4"/>
      <c r="B354" s="4"/>
      <c r="C354" s="4"/>
      <c r="D354" s="4"/>
      <c r="E354" s="4"/>
      <c r="F354" s="4"/>
    </row>
    <row r="355">
      <c r="A355" s="4"/>
      <c r="B355" s="4"/>
      <c r="C355" s="4"/>
      <c r="D355" s="4"/>
      <c r="E355" s="4"/>
      <c r="F355" s="4"/>
    </row>
    <row r="356">
      <c r="A356" s="4"/>
      <c r="B356" s="4"/>
      <c r="C356" s="4"/>
      <c r="D356" s="4"/>
      <c r="E356" s="4"/>
      <c r="F356" s="4"/>
    </row>
    <row r="357">
      <c r="A357" s="4"/>
      <c r="B357" s="4"/>
      <c r="C357" s="4"/>
      <c r="D357" s="4"/>
      <c r="E357" s="4"/>
      <c r="F357" s="4"/>
    </row>
    <row r="358">
      <c r="A358" s="4"/>
      <c r="B358" s="4"/>
      <c r="C358" s="4"/>
      <c r="D358" s="4"/>
      <c r="E358" s="4"/>
      <c r="F358" s="4"/>
    </row>
    <row r="359">
      <c r="A359" s="4"/>
      <c r="B359" s="4"/>
      <c r="C359" s="4"/>
      <c r="D359" s="4"/>
      <c r="E359" s="4"/>
      <c r="F359" s="4"/>
    </row>
    <row r="360">
      <c r="A360" s="4"/>
      <c r="B360" s="4"/>
      <c r="C360" s="4"/>
      <c r="D360" s="4"/>
      <c r="E360" s="4"/>
      <c r="F360" s="4"/>
    </row>
    <row r="361">
      <c r="A361" s="4"/>
      <c r="B361" s="4"/>
      <c r="C361" s="4"/>
      <c r="D361" s="4"/>
      <c r="E361" s="4"/>
      <c r="F361" s="4"/>
    </row>
    <row r="362">
      <c r="A362" s="4"/>
      <c r="B362" s="4"/>
      <c r="C362" s="4"/>
      <c r="D362" s="4"/>
      <c r="E362" s="4"/>
      <c r="F362" s="4"/>
    </row>
    <row r="363">
      <c r="A363" s="4"/>
      <c r="B363" s="4"/>
      <c r="C363" s="4"/>
      <c r="D363" s="4"/>
      <c r="E363" s="4"/>
      <c r="F363" s="4"/>
    </row>
    <row r="364">
      <c r="A364" s="4"/>
      <c r="B364" s="4"/>
      <c r="C364" s="4"/>
      <c r="D364" s="4"/>
      <c r="E364" s="4"/>
      <c r="F364" s="4"/>
    </row>
    <row r="365">
      <c r="A365" s="4"/>
      <c r="B365" s="4"/>
      <c r="C365" s="4"/>
      <c r="D365" s="4"/>
      <c r="E365" s="4"/>
      <c r="F365" s="4"/>
    </row>
    <row r="366">
      <c r="A366" s="4"/>
      <c r="B366" s="4"/>
      <c r="C366" s="4"/>
      <c r="D366" s="4"/>
      <c r="E366" s="4"/>
      <c r="F366" s="4"/>
    </row>
    <row r="367">
      <c r="A367" s="4"/>
      <c r="B367" s="4"/>
      <c r="C367" s="4"/>
      <c r="D367" s="4"/>
      <c r="E367" s="4"/>
      <c r="F367" s="4"/>
    </row>
    <row r="368">
      <c r="A368" s="4"/>
      <c r="B368" s="4"/>
      <c r="C368" s="4"/>
      <c r="D368" s="4"/>
      <c r="E368" s="4"/>
      <c r="F368" s="4"/>
    </row>
    <row r="369">
      <c r="A369" s="4"/>
      <c r="B369" s="4"/>
      <c r="C369" s="4"/>
      <c r="D369" s="4"/>
      <c r="E369" s="4"/>
      <c r="F369" s="4"/>
    </row>
    <row r="370">
      <c r="A370" s="4"/>
      <c r="B370" s="4"/>
      <c r="C370" s="4"/>
      <c r="D370" s="4"/>
      <c r="E370" s="4"/>
      <c r="F370" s="4"/>
    </row>
    <row r="371">
      <c r="A371" s="4"/>
      <c r="B371" s="4"/>
      <c r="C371" s="4"/>
      <c r="D371" s="4"/>
      <c r="E371" s="4"/>
      <c r="F371" s="4"/>
    </row>
    <row r="372">
      <c r="A372" s="4"/>
      <c r="B372" s="4"/>
      <c r="C372" s="4"/>
      <c r="D372" s="4"/>
      <c r="E372" s="4"/>
      <c r="F372" s="4"/>
    </row>
    <row r="373">
      <c r="A373" s="4"/>
      <c r="B373" s="4"/>
      <c r="C373" s="4"/>
      <c r="D373" s="4"/>
      <c r="E373" s="4"/>
      <c r="F373" s="4"/>
    </row>
    <row r="374">
      <c r="A374" s="4"/>
      <c r="B374" s="4"/>
      <c r="C374" s="4"/>
      <c r="D374" s="4"/>
      <c r="E374" s="4"/>
      <c r="F374" s="4"/>
    </row>
    <row r="375">
      <c r="A375" s="4"/>
      <c r="B375" s="4"/>
      <c r="C375" s="4"/>
      <c r="D375" s="4"/>
      <c r="E375" s="4"/>
      <c r="F375" s="4"/>
    </row>
    <row r="376">
      <c r="A376" s="4"/>
      <c r="B376" s="4"/>
      <c r="C376" s="4"/>
      <c r="D376" s="4"/>
      <c r="E376" s="4"/>
      <c r="F376" s="4"/>
    </row>
    <row r="377">
      <c r="A377" s="4"/>
      <c r="B377" s="4"/>
      <c r="C377" s="4"/>
      <c r="D377" s="4"/>
      <c r="E377" s="4"/>
      <c r="F377" s="4"/>
    </row>
    <row r="378">
      <c r="A378" s="4"/>
      <c r="B378" s="4"/>
      <c r="C378" s="4"/>
      <c r="D378" s="4"/>
      <c r="E378" s="4"/>
      <c r="F378" s="4"/>
    </row>
    <row r="379">
      <c r="A379" s="4"/>
      <c r="B379" s="4"/>
      <c r="C379" s="4"/>
      <c r="D379" s="4"/>
      <c r="E379" s="4"/>
      <c r="F379" s="4"/>
    </row>
    <row r="380">
      <c r="A380" s="4"/>
      <c r="B380" s="4"/>
      <c r="C380" s="4"/>
      <c r="D380" s="4"/>
      <c r="E380" s="4"/>
      <c r="F380" s="4"/>
    </row>
    <row r="381">
      <c r="A381" s="4"/>
      <c r="B381" s="4"/>
      <c r="C381" s="4"/>
      <c r="D381" s="4"/>
      <c r="E381" s="4"/>
      <c r="F381" s="4"/>
    </row>
    <row r="382">
      <c r="A382" s="4"/>
      <c r="B382" s="4"/>
      <c r="C382" s="4"/>
      <c r="D382" s="4"/>
      <c r="E382" s="4"/>
      <c r="F382" s="4"/>
    </row>
    <row r="383">
      <c r="A383" s="4"/>
      <c r="B383" s="4"/>
      <c r="C383" s="4"/>
      <c r="D383" s="4"/>
      <c r="E383" s="4"/>
      <c r="F383" s="4"/>
    </row>
    <row r="384">
      <c r="A384" s="4"/>
      <c r="B384" s="4"/>
      <c r="C384" s="4"/>
      <c r="D384" s="4"/>
      <c r="E384" s="4"/>
      <c r="F384" s="4"/>
    </row>
    <row r="385">
      <c r="A385" s="4"/>
      <c r="B385" s="4"/>
      <c r="C385" s="4"/>
      <c r="D385" s="4"/>
      <c r="E385" s="4"/>
      <c r="F385" s="4"/>
    </row>
    <row r="386">
      <c r="A386" s="4"/>
      <c r="B386" s="4"/>
      <c r="C386" s="4"/>
      <c r="D386" s="4"/>
      <c r="E386" s="4"/>
      <c r="F386" s="4"/>
    </row>
    <row r="387">
      <c r="A387" s="4"/>
      <c r="B387" s="4"/>
      <c r="C387" s="4"/>
      <c r="D387" s="4"/>
      <c r="E387" s="4"/>
      <c r="F387" s="4"/>
    </row>
    <row r="388">
      <c r="A388" s="4"/>
      <c r="B388" s="4"/>
      <c r="C388" s="4"/>
      <c r="D388" s="4"/>
      <c r="E388" s="4"/>
      <c r="F388" s="4"/>
    </row>
    <row r="389">
      <c r="A389" s="4"/>
      <c r="B389" s="4"/>
      <c r="C389" s="4"/>
      <c r="D389" s="4"/>
      <c r="E389" s="4"/>
      <c r="F389" s="4"/>
    </row>
    <row r="390">
      <c r="A390" s="4"/>
      <c r="B390" s="4"/>
      <c r="C390" s="4"/>
      <c r="D390" s="4"/>
      <c r="E390" s="4"/>
      <c r="F390" s="4"/>
    </row>
    <row r="391">
      <c r="A391" s="4"/>
      <c r="B391" s="4"/>
      <c r="C391" s="4"/>
      <c r="D391" s="4"/>
      <c r="E391" s="4"/>
      <c r="F391" s="4"/>
    </row>
    <row r="392">
      <c r="A392" s="4"/>
      <c r="B392" s="4"/>
      <c r="C392" s="4"/>
      <c r="D392" s="4"/>
      <c r="E392" s="4"/>
      <c r="F392" s="4"/>
    </row>
    <row r="393">
      <c r="A393" s="4"/>
      <c r="B393" s="4"/>
      <c r="C393" s="4"/>
      <c r="D393" s="4"/>
      <c r="E393" s="4"/>
      <c r="F393" s="4"/>
    </row>
    <row r="394">
      <c r="A394" s="4"/>
      <c r="B394" s="4"/>
      <c r="C394" s="4"/>
      <c r="D394" s="4"/>
      <c r="E394" s="4"/>
      <c r="F394" s="4"/>
    </row>
    <row r="395">
      <c r="A395" s="4"/>
      <c r="B395" s="4"/>
      <c r="C395" s="4"/>
      <c r="D395" s="4"/>
      <c r="E395" s="4"/>
      <c r="F395" s="4"/>
    </row>
    <row r="396">
      <c r="A396" s="4"/>
      <c r="B396" s="4"/>
      <c r="C396" s="4"/>
      <c r="D396" s="4"/>
      <c r="E396" s="4"/>
      <c r="F396" s="4"/>
    </row>
    <row r="397">
      <c r="A397" s="4"/>
      <c r="B397" s="4"/>
      <c r="C397" s="4"/>
      <c r="D397" s="4"/>
      <c r="E397" s="4"/>
      <c r="F397" s="4"/>
    </row>
    <row r="398">
      <c r="A398" s="4"/>
      <c r="B398" s="4"/>
      <c r="C398" s="4"/>
      <c r="D398" s="4"/>
      <c r="E398" s="4"/>
      <c r="F398" s="4"/>
    </row>
    <row r="399">
      <c r="A399" s="4"/>
      <c r="B399" s="4"/>
      <c r="C399" s="4"/>
      <c r="D399" s="4"/>
      <c r="E399" s="4"/>
      <c r="F399" s="4"/>
    </row>
    <row r="400">
      <c r="A400" s="4"/>
      <c r="B400" s="4"/>
      <c r="C400" s="4"/>
      <c r="D400" s="4"/>
      <c r="E400" s="4"/>
      <c r="F400" s="4"/>
    </row>
    <row r="401">
      <c r="A401" s="4"/>
      <c r="B401" s="4"/>
      <c r="C401" s="4"/>
      <c r="D401" s="4"/>
      <c r="E401" s="4"/>
      <c r="F401" s="4"/>
    </row>
    <row r="402">
      <c r="A402" s="4"/>
      <c r="B402" s="4"/>
      <c r="C402" s="4"/>
      <c r="D402" s="4"/>
      <c r="E402" s="4"/>
      <c r="F402" s="4"/>
    </row>
    <row r="403">
      <c r="A403" s="4"/>
      <c r="B403" s="4"/>
      <c r="C403" s="4"/>
      <c r="D403" s="4"/>
      <c r="E403" s="4"/>
      <c r="F403" s="4"/>
    </row>
    <row r="404">
      <c r="A404" s="4"/>
      <c r="B404" s="4"/>
      <c r="C404" s="4"/>
      <c r="D404" s="4"/>
      <c r="E404" s="4"/>
      <c r="F404" s="4"/>
    </row>
    <row r="405">
      <c r="A405" s="4"/>
      <c r="B405" s="4"/>
      <c r="C405" s="4"/>
      <c r="D405" s="4"/>
      <c r="E405" s="4"/>
      <c r="F405" s="4"/>
    </row>
    <row r="406">
      <c r="A406" s="4"/>
      <c r="B406" s="4"/>
      <c r="C406" s="4"/>
      <c r="D406" s="4"/>
      <c r="E406" s="4"/>
      <c r="F406" s="4"/>
    </row>
    <row r="407">
      <c r="A407" s="4"/>
      <c r="B407" s="4"/>
      <c r="C407" s="4"/>
      <c r="D407" s="4"/>
      <c r="E407" s="4"/>
      <c r="F407" s="4"/>
    </row>
    <row r="408">
      <c r="A408" s="4"/>
      <c r="B408" s="4"/>
      <c r="C408" s="4"/>
      <c r="D408" s="4"/>
      <c r="E408" s="4"/>
      <c r="F408" s="4"/>
    </row>
    <row r="409">
      <c r="A409" s="4"/>
      <c r="B409" s="4"/>
      <c r="C409" s="4"/>
      <c r="D409" s="4"/>
      <c r="E409" s="4"/>
      <c r="F409" s="4"/>
    </row>
    <row r="410">
      <c r="A410" s="4"/>
      <c r="B410" s="4"/>
      <c r="C410" s="4"/>
      <c r="D410" s="4"/>
      <c r="E410" s="4"/>
      <c r="F410" s="4"/>
    </row>
    <row r="411">
      <c r="A411" s="4"/>
      <c r="B411" s="4"/>
      <c r="C411" s="4"/>
      <c r="D411" s="4"/>
      <c r="E411" s="4"/>
      <c r="F411" s="4"/>
    </row>
    <row r="412">
      <c r="A412" s="4"/>
      <c r="B412" s="4"/>
      <c r="C412" s="4"/>
      <c r="D412" s="4"/>
      <c r="E412" s="4"/>
      <c r="F412" s="4"/>
    </row>
    <row r="413">
      <c r="A413" s="4"/>
      <c r="B413" s="4"/>
      <c r="C413" s="4"/>
      <c r="D413" s="4"/>
      <c r="E413" s="4"/>
      <c r="F413" s="4"/>
    </row>
    <row r="414">
      <c r="A414" s="4"/>
      <c r="B414" s="4"/>
      <c r="C414" s="4"/>
      <c r="D414" s="4"/>
      <c r="E414" s="4"/>
      <c r="F414" s="4"/>
    </row>
    <row r="415">
      <c r="A415" s="4"/>
      <c r="B415" s="4"/>
      <c r="C415" s="4"/>
      <c r="D415" s="4"/>
      <c r="E415" s="4"/>
      <c r="F415" s="4"/>
    </row>
    <row r="416">
      <c r="A416" s="4"/>
      <c r="B416" s="4"/>
      <c r="C416" s="4"/>
      <c r="D416" s="4"/>
      <c r="E416" s="4"/>
      <c r="F416" s="4"/>
    </row>
    <row r="417">
      <c r="A417" s="4"/>
      <c r="B417" s="4"/>
      <c r="C417" s="4"/>
      <c r="D417" s="4"/>
      <c r="E417" s="4"/>
      <c r="F417" s="4"/>
    </row>
    <row r="418">
      <c r="A418" s="4"/>
      <c r="B418" s="4"/>
      <c r="C418" s="4"/>
      <c r="D418" s="4"/>
      <c r="E418" s="4"/>
      <c r="F418" s="4"/>
    </row>
    <row r="419">
      <c r="A419" s="4"/>
      <c r="B419" s="4"/>
      <c r="C419" s="4"/>
      <c r="D419" s="4"/>
      <c r="E419" s="4"/>
      <c r="F419" s="4"/>
    </row>
    <row r="420">
      <c r="A420" s="4"/>
      <c r="B420" s="4"/>
      <c r="C420" s="4"/>
      <c r="D420" s="4"/>
      <c r="E420" s="4"/>
      <c r="F420" s="4"/>
    </row>
    <row r="421">
      <c r="A421" s="4"/>
      <c r="B421" s="4"/>
      <c r="C421" s="4"/>
      <c r="D421" s="4"/>
      <c r="E421" s="4"/>
      <c r="F421" s="4"/>
    </row>
    <row r="422">
      <c r="A422" s="4"/>
      <c r="B422" s="4"/>
      <c r="C422" s="4"/>
      <c r="D422" s="4"/>
      <c r="E422" s="4"/>
      <c r="F422" s="4"/>
    </row>
    <row r="423">
      <c r="A423" s="4"/>
      <c r="B423" s="4"/>
      <c r="C423" s="4"/>
      <c r="D423" s="4"/>
      <c r="E423" s="4"/>
      <c r="F423" s="4"/>
    </row>
    <row r="424">
      <c r="A424" s="4"/>
      <c r="B424" s="4"/>
      <c r="C424" s="4"/>
      <c r="D424" s="4"/>
      <c r="E424" s="4"/>
      <c r="F424" s="4"/>
    </row>
    <row r="425">
      <c r="A425" s="4"/>
      <c r="B425" s="4"/>
      <c r="C425" s="4"/>
      <c r="D425" s="4"/>
      <c r="E425" s="4"/>
      <c r="F425" s="4"/>
    </row>
    <row r="426">
      <c r="A426" s="4"/>
      <c r="B426" s="4"/>
      <c r="C426" s="4"/>
      <c r="D426" s="4"/>
      <c r="E426" s="4"/>
      <c r="F426" s="4"/>
    </row>
    <row r="427">
      <c r="A427" s="4"/>
      <c r="B427" s="4"/>
      <c r="C427" s="4"/>
      <c r="D427" s="4"/>
      <c r="E427" s="4"/>
      <c r="F427" s="4"/>
    </row>
    <row r="428">
      <c r="A428" s="4"/>
      <c r="B428" s="4"/>
      <c r="C428" s="4"/>
      <c r="D428" s="4"/>
      <c r="E428" s="4"/>
      <c r="F428" s="4"/>
    </row>
    <row r="429">
      <c r="A429" s="4"/>
      <c r="B429" s="4"/>
      <c r="C429" s="4"/>
      <c r="D429" s="4"/>
      <c r="E429" s="4"/>
      <c r="F429" s="4"/>
    </row>
    <row r="430">
      <c r="A430" s="4"/>
      <c r="B430" s="4"/>
      <c r="C430" s="4"/>
      <c r="D430" s="4"/>
      <c r="E430" s="4"/>
      <c r="F430" s="4"/>
    </row>
    <row r="431">
      <c r="A431" s="4"/>
      <c r="B431" s="4"/>
      <c r="C431" s="4"/>
      <c r="D431" s="4"/>
      <c r="E431" s="4"/>
      <c r="F431" s="4"/>
    </row>
    <row r="432">
      <c r="A432" s="4"/>
      <c r="B432" s="4"/>
      <c r="C432" s="4"/>
      <c r="D432" s="4"/>
      <c r="E432" s="4"/>
      <c r="F432" s="4"/>
    </row>
    <row r="433">
      <c r="A433" s="4"/>
      <c r="B433" s="4"/>
      <c r="C433" s="4"/>
      <c r="D433" s="4"/>
      <c r="E433" s="4"/>
      <c r="F433" s="4"/>
    </row>
    <row r="434">
      <c r="A434" s="4"/>
      <c r="B434" s="4"/>
      <c r="C434" s="4"/>
      <c r="D434" s="4"/>
      <c r="E434" s="4"/>
      <c r="F434" s="4"/>
    </row>
    <row r="435">
      <c r="A435" s="4"/>
      <c r="B435" s="4"/>
      <c r="C435" s="4"/>
      <c r="D435" s="4"/>
      <c r="E435" s="4"/>
      <c r="F435" s="4"/>
    </row>
    <row r="436">
      <c r="A436" s="4"/>
      <c r="B436" s="4"/>
      <c r="C436" s="4"/>
      <c r="D436" s="4"/>
      <c r="E436" s="4"/>
      <c r="F436" s="4"/>
    </row>
    <row r="437">
      <c r="A437" s="4"/>
      <c r="B437" s="4"/>
      <c r="C437" s="4"/>
      <c r="D437" s="4"/>
      <c r="E437" s="4"/>
      <c r="F437" s="4"/>
    </row>
    <row r="438">
      <c r="A438" s="4"/>
      <c r="B438" s="4"/>
      <c r="C438" s="4"/>
      <c r="D438" s="4"/>
      <c r="E438" s="4"/>
      <c r="F438" s="4"/>
    </row>
    <row r="439">
      <c r="A439" s="4"/>
      <c r="B439" s="4"/>
      <c r="C439" s="4"/>
      <c r="D439" s="4"/>
      <c r="E439" s="4"/>
      <c r="F439" s="4"/>
    </row>
    <row r="440">
      <c r="A440" s="4"/>
      <c r="B440" s="4"/>
      <c r="C440" s="4"/>
      <c r="D440" s="4"/>
      <c r="E440" s="4"/>
      <c r="F440" s="4"/>
    </row>
    <row r="441">
      <c r="A441" s="4"/>
      <c r="B441" s="4"/>
      <c r="C441" s="4"/>
      <c r="D441" s="4"/>
      <c r="E441" s="4"/>
      <c r="F441" s="4"/>
    </row>
    <row r="442">
      <c r="A442" s="4"/>
      <c r="B442" s="4"/>
      <c r="C442" s="4"/>
      <c r="D442" s="4"/>
      <c r="E442" s="4"/>
      <c r="F442" s="4"/>
    </row>
    <row r="443">
      <c r="A443" s="4"/>
      <c r="B443" s="4"/>
      <c r="C443" s="4"/>
      <c r="D443" s="4"/>
      <c r="E443" s="4"/>
      <c r="F443" s="4"/>
    </row>
    <row r="444">
      <c r="A444" s="4"/>
      <c r="B444" s="4"/>
      <c r="C444" s="4"/>
      <c r="D444" s="4"/>
      <c r="E444" s="4"/>
      <c r="F444" s="4"/>
    </row>
    <row r="445">
      <c r="A445" s="4"/>
      <c r="B445" s="4"/>
      <c r="C445" s="4"/>
      <c r="D445" s="4"/>
      <c r="E445" s="4"/>
      <c r="F445" s="4"/>
    </row>
    <row r="446">
      <c r="A446" s="4"/>
      <c r="B446" s="4"/>
      <c r="C446" s="4"/>
      <c r="D446" s="4"/>
      <c r="E446" s="4"/>
      <c r="F446" s="4"/>
    </row>
    <row r="447">
      <c r="A447" s="4"/>
      <c r="B447" s="4"/>
      <c r="C447" s="4"/>
      <c r="D447" s="4"/>
      <c r="E447" s="4"/>
      <c r="F447" s="4"/>
    </row>
    <row r="448">
      <c r="A448" s="4"/>
      <c r="B448" s="4"/>
      <c r="C448" s="4"/>
      <c r="D448" s="4"/>
      <c r="E448" s="4"/>
      <c r="F448" s="4"/>
    </row>
    <row r="449">
      <c r="A449" s="4"/>
      <c r="B449" s="4"/>
      <c r="C449" s="4"/>
      <c r="D449" s="4"/>
      <c r="E449" s="4"/>
      <c r="F449" s="4"/>
    </row>
    <row r="450">
      <c r="A450" s="4"/>
      <c r="B450" s="4"/>
      <c r="C450" s="4"/>
      <c r="D450" s="4"/>
      <c r="E450" s="4"/>
      <c r="F450" s="4"/>
    </row>
    <row r="451">
      <c r="A451" s="4"/>
      <c r="B451" s="4"/>
      <c r="C451" s="4"/>
      <c r="D451" s="4"/>
      <c r="E451" s="4"/>
      <c r="F451" s="4"/>
    </row>
    <row r="452">
      <c r="A452" s="4"/>
      <c r="B452" s="4"/>
      <c r="C452" s="4"/>
      <c r="D452" s="4"/>
      <c r="E452" s="4"/>
      <c r="F452" s="4"/>
    </row>
    <row r="453">
      <c r="A453" s="4"/>
      <c r="B453" s="4"/>
      <c r="C453" s="4"/>
      <c r="D453" s="4"/>
      <c r="E453" s="4"/>
      <c r="F453" s="4"/>
    </row>
    <row r="454">
      <c r="A454" s="4"/>
      <c r="B454" s="4"/>
      <c r="C454" s="4"/>
      <c r="D454" s="4"/>
      <c r="E454" s="4"/>
      <c r="F454" s="4"/>
    </row>
    <row r="455">
      <c r="A455" s="4"/>
      <c r="B455" s="4"/>
      <c r="C455" s="4"/>
      <c r="D455" s="4"/>
      <c r="E455" s="4"/>
      <c r="F455" s="4"/>
    </row>
    <row r="456">
      <c r="A456" s="4"/>
      <c r="B456" s="4"/>
      <c r="C456" s="4"/>
      <c r="D456" s="4"/>
      <c r="E456" s="4"/>
      <c r="F456" s="4"/>
    </row>
    <row r="457">
      <c r="A457" s="4"/>
      <c r="B457" s="4"/>
      <c r="C457" s="4"/>
      <c r="D457" s="4"/>
      <c r="E457" s="4"/>
      <c r="F457" s="4"/>
    </row>
    <row r="458">
      <c r="A458" s="4"/>
      <c r="B458" s="4"/>
      <c r="C458" s="4"/>
      <c r="D458" s="4"/>
      <c r="E458" s="4"/>
      <c r="F458" s="4"/>
    </row>
    <row r="459">
      <c r="A459" s="4"/>
      <c r="B459" s="4"/>
      <c r="C459" s="4"/>
      <c r="D459" s="4"/>
      <c r="E459" s="4"/>
      <c r="F459" s="4"/>
    </row>
    <row r="460">
      <c r="A460" s="4"/>
      <c r="B460" s="4"/>
      <c r="C460" s="4"/>
      <c r="D460" s="4"/>
      <c r="E460" s="4"/>
      <c r="F460" s="4"/>
    </row>
    <row r="461">
      <c r="A461" s="4"/>
      <c r="B461" s="4"/>
      <c r="C461" s="4"/>
      <c r="D461" s="4"/>
      <c r="E461" s="4"/>
      <c r="F461" s="4"/>
    </row>
    <row r="462">
      <c r="A462" s="4"/>
      <c r="B462" s="4"/>
      <c r="C462" s="4"/>
      <c r="D462" s="4"/>
      <c r="E462" s="4"/>
      <c r="F462" s="4"/>
    </row>
    <row r="463">
      <c r="A463" s="4"/>
      <c r="B463" s="4"/>
      <c r="C463" s="4"/>
      <c r="D463" s="4"/>
      <c r="E463" s="4"/>
      <c r="F463" s="4"/>
    </row>
    <row r="464">
      <c r="A464" s="4"/>
      <c r="B464" s="4"/>
      <c r="C464" s="4"/>
      <c r="D464" s="4"/>
      <c r="E464" s="4"/>
      <c r="F464" s="4"/>
    </row>
    <row r="465">
      <c r="A465" s="4"/>
      <c r="B465" s="4"/>
      <c r="C465" s="4"/>
      <c r="D465" s="4"/>
      <c r="E465" s="4"/>
      <c r="F465" s="4"/>
    </row>
    <row r="466">
      <c r="A466" s="4"/>
      <c r="B466" s="4"/>
      <c r="C466" s="4"/>
      <c r="D466" s="4"/>
      <c r="E466" s="4"/>
      <c r="F466" s="4"/>
    </row>
    <row r="467">
      <c r="A467" s="4"/>
      <c r="B467" s="4"/>
      <c r="C467" s="4"/>
      <c r="D467" s="4"/>
      <c r="E467" s="4"/>
      <c r="F467" s="4"/>
    </row>
    <row r="468">
      <c r="A468" s="4"/>
      <c r="B468" s="4"/>
      <c r="C468" s="4"/>
      <c r="D468" s="4"/>
      <c r="E468" s="4"/>
      <c r="F468" s="4"/>
    </row>
    <row r="469">
      <c r="A469" s="4"/>
      <c r="B469" s="4"/>
      <c r="C469" s="4"/>
      <c r="D469" s="4"/>
      <c r="E469" s="4"/>
      <c r="F469" s="4"/>
    </row>
    <row r="470">
      <c r="A470" s="4"/>
      <c r="B470" s="4"/>
      <c r="C470" s="4"/>
      <c r="D470" s="4"/>
      <c r="E470" s="4"/>
      <c r="F470" s="4"/>
    </row>
    <row r="471">
      <c r="A471" s="4"/>
      <c r="B471" s="4"/>
      <c r="C471" s="4"/>
      <c r="D471" s="4"/>
      <c r="E471" s="4"/>
      <c r="F471" s="4"/>
    </row>
    <row r="472">
      <c r="A472" s="4"/>
      <c r="B472" s="4"/>
      <c r="C472" s="4"/>
      <c r="D472" s="4"/>
      <c r="E472" s="4"/>
      <c r="F472" s="4"/>
    </row>
    <row r="473">
      <c r="A473" s="4"/>
      <c r="B473" s="4"/>
      <c r="C473" s="4"/>
      <c r="D473" s="4"/>
      <c r="E473" s="4"/>
      <c r="F473" s="4"/>
    </row>
    <row r="474">
      <c r="A474" s="4"/>
      <c r="B474" s="4"/>
      <c r="C474" s="4"/>
      <c r="D474" s="4"/>
      <c r="E474" s="4"/>
      <c r="F474" s="4"/>
    </row>
    <row r="475">
      <c r="A475" s="4"/>
      <c r="B475" s="4"/>
      <c r="C475" s="4"/>
      <c r="D475" s="4"/>
      <c r="E475" s="4"/>
      <c r="F475" s="4"/>
    </row>
    <row r="476">
      <c r="A476" s="4"/>
      <c r="B476" s="4"/>
      <c r="C476" s="4"/>
      <c r="D476" s="4"/>
      <c r="E476" s="4"/>
      <c r="F476" s="4"/>
    </row>
    <row r="477">
      <c r="A477" s="4"/>
      <c r="B477" s="4"/>
      <c r="C477" s="4"/>
      <c r="D477" s="4"/>
      <c r="E477" s="4"/>
      <c r="F477" s="4"/>
    </row>
    <row r="478">
      <c r="A478" s="4"/>
      <c r="B478" s="4"/>
      <c r="C478" s="4"/>
      <c r="D478" s="4"/>
      <c r="E478" s="4"/>
      <c r="F478" s="4"/>
    </row>
    <row r="479">
      <c r="A479" s="4"/>
      <c r="B479" s="4"/>
      <c r="C479" s="4"/>
      <c r="D479" s="4"/>
      <c r="E479" s="4"/>
      <c r="F479" s="4"/>
    </row>
    <row r="480">
      <c r="A480" s="4"/>
      <c r="B480" s="4"/>
      <c r="C480" s="4"/>
      <c r="D480" s="4"/>
      <c r="E480" s="4"/>
      <c r="F480" s="4"/>
    </row>
    <row r="481">
      <c r="A481" s="4"/>
      <c r="B481" s="4"/>
      <c r="C481" s="4"/>
      <c r="D481" s="4"/>
      <c r="E481" s="4"/>
      <c r="F481" s="4"/>
    </row>
    <row r="482">
      <c r="A482" s="4"/>
      <c r="B482" s="4"/>
      <c r="C482" s="4"/>
      <c r="D482" s="4"/>
      <c r="E482" s="4"/>
      <c r="F482" s="4"/>
    </row>
    <row r="483">
      <c r="A483" s="4"/>
      <c r="B483" s="4"/>
      <c r="C483" s="4"/>
      <c r="D483" s="4"/>
      <c r="E483" s="4"/>
      <c r="F483" s="4"/>
    </row>
    <row r="484">
      <c r="A484" s="4"/>
      <c r="B484" s="4"/>
      <c r="C484" s="4"/>
      <c r="D484" s="4"/>
      <c r="E484" s="4"/>
      <c r="F484" s="4"/>
    </row>
    <row r="485">
      <c r="A485" s="4"/>
      <c r="B485" s="4"/>
      <c r="C485" s="4"/>
      <c r="D485" s="4"/>
      <c r="E485" s="4"/>
      <c r="F485" s="4"/>
    </row>
    <row r="486">
      <c r="A486" s="4"/>
      <c r="B486" s="4"/>
      <c r="C486" s="4"/>
      <c r="D486" s="4"/>
      <c r="E486" s="4"/>
      <c r="F486" s="4"/>
    </row>
    <row r="487">
      <c r="A487" s="4"/>
      <c r="B487" s="4"/>
      <c r="C487" s="4"/>
      <c r="D487" s="4"/>
      <c r="E487" s="4"/>
      <c r="F487" s="4"/>
    </row>
    <row r="488">
      <c r="A488" s="4"/>
      <c r="B488" s="4"/>
      <c r="C488" s="4"/>
      <c r="D488" s="4"/>
      <c r="E488" s="4"/>
      <c r="F488" s="4"/>
    </row>
    <row r="489">
      <c r="A489" s="4"/>
      <c r="B489" s="4"/>
      <c r="C489" s="4"/>
      <c r="D489" s="4"/>
      <c r="E489" s="4"/>
      <c r="F489" s="4"/>
    </row>
    <row r="490">
      <c r="A490" s="4"/>
      <c r="B490" s="4"/>
      <c r="C490" s="4"/>
      <c r="D490" s="4"/>
      <c r="E490" s="4"/>
      <c r="F490" s="4"/>
    </row>
    <row r="491">
      <c r="A491" s="4"/>
      <c r="B491" s="4"/>
      <c r="C491" s="4"/>
      <c r="D491" s="4"/>
      <c r="E491" s="4"/>
      <c r="F491" s="4"/>
    </row>
    <row r="492">
      <c r="A492" s="4"/>
      <c r="B492" s="4"/>
      <c r="C492" s="4"/>
      <c r="D492" s="4"/>
      <c r="E492" s="4"/>
      <c r="F492" s="4"/>
    </row>
    <row r="493">
      <c r="A493" s="4"/>
      <c r="B493" s="4"/>
      <c r="C493" s="4"/>
      <c r="D493" s="4"/>
      <c r="E493" s="4"/>
      <c r="F493" s="4"/>
    </row>
    <row r="494">
      <c r="A494" s="4"/>
      <c r="B494" s="4"/>
      <c r="C494" s="4"/>
      <c r="D494" s="4"/>
      <c r="E494" s="4"/>
      <c r="F494" s="4"/>
    </row>
    <row r="495">
      <c r="A495" s="4"/>
      <c r="B495" s="4"/>
      <c r="C495" s="4"/>
      <c r="D495" s="4"/>
      <c r="E495" s="4"/>
      <c r="F495" s="4"/>
    </row>
    <row r="496">
      <c r="A496" s="4"/>
      <c r="B496" s="4"/>
      <c r="C496" s="4"/>
      <c r="D496" s="4"/>
      <c r="E496" s="4"/>
      <c r="F496" s="4"/>
    </row>
    <row r="497">
      <c r="A497" s="4"/>
      <c r="B497" s="4"/>
      <c r="C497" s="4"/>
      <c r="D497" s="4"/>
      <c r="E497" s="4"/>
      <c r="F497" s="4"/>
    </row>
    <row r="498">
      <c r="A498" s="4"/>
      <c r="B498" s="4"/>
      <c r="C498" s="4"/>
      <c r="D498" s="4"/>
      <c r="E498" s="4"/>
      <c r="F498" s="4"/>
    </row>
    <row r="499">
      <c r="A499" s="4"/>
      <c r="B499" s="4"/>
      <c r="C499" s="4"/>
      <c r="D499" s="4"/>
      <c r="E499" s="4"/>
      <c r="F499" s="4"/>
    </row>
    <row r="500">
      <c r="A500" s="4"/>
      <c r="B500" s="4"/>
      <c r="C500" s="4"/>
      <c r="D500" s="4"/>
      <c r="E500" s="4"/>
      <c r="F500" s="4"/>
    </row>
    <row r="501">
      <c r="A501" s="4"/>
      <c r="B501" s="4"/>
      <c r="C501" s="4"/>
      <c r="D501" s="4"/>
      <c r="E501" s="4"/>
      <c r="F501" s="4"/>
    </row>
    <row r="502">
      <c r="A502" s="4"/>
      <c r="B502" s="4"/>
      <c r="C502" s="4"/>
      <c r="D502" s="4"/>
      <c r="E502" s="4"/>
      <c r="F502" s="4"/>
    </row>
    <row r="503">
      <c r="A503" s="4"/>
      <c r="B503" s="4"/>
      <c r="C503" s="4"/>
      <c r="D503" s="4"/>
      <c r="E503" s="4"/>
      <c r="F503" s="4"/>
    </row>
    <row r="504">
      <c r="A504" s="4"/>
      <c r="B504" s="4"/>
      <c r="C504" s="4"/>
      <c r="D504" s="4"/>
      <c r="E504" s="4"/>
      <c r="F504" s="4"/>
    </row>
    <row r="505">
      <c r="A505" s="4"/>
      <c r="B505" s="4"/>
      <c r="C505" s="4"/>
      <c r="D505" s="4"/>
      <c r="E505" s="4"/>
      <c r="F505" s="4"/>
    </row>
    <row r="506">
      <c r="A506" s="4"/>
      <c r="B506" s="4"/>
      <c r="C506" s="4"/>
      <c r="D506" s="4"/>
      <c r="E506" s="4"/>
      <c r="F506" s="4"/>
    </row>
    <row r="507">
      <c r="A507" s="4"/>
      <c r="B507" s="4"/>
      <c r="C507" s="4"/>
      <c r="D507" s="4"/>
      <c r="E507" s="4"/>
      <c r="F507" s="4"/>
    </row>
    <row r="508">
      <c r="A508" s="4"/>
      <c r="B508" s="4"/>
      <c r="C508" s="4"/>
      <c r="D508" s="4"/>
      <c r="E508" s="4"/>
      <c r="F508" s="4"/>
    </row>
    <row r="509">
      <c r="A509" s="4"/>
      <c r="B509" s="4"/>
      <c r="C509" s="4"/>
      <c r="D509" s="4"/>
      <c r="E509" s="4"/>
      <c r="F509" s="4"/>
    </row>
    <row r="510">
      <c r="A510" s="4"/>
      <c r="B510" s="4"/>
      <c r="C510" s="4"/>
      <c r="D510" s="4"/>
      <c r="E510" s="4"/>
      <c r="F510" s="4"/>
    </row>
    <row r="511">
      <c r="A511" s="4"/>
      <c r="B511" s="4"/>
      <c r="C511" s="4"/>
      <c r="D511" s="4"/>
      <c r="E511" s="4"/>
      <c r="F511" s="4"/>
    </row>
    <row r="512">
      <c r="A512" s="4"/>
      <c r="B512" s="4"/>
      <c r="C512" s="4"/>
      <c r="D512" s="4"/>
      <c r="E512" s="4"/>
      <c r="F512" s="4"/>
    </row>
    <row r="513">
      <c r="A513" s="4"/>
      <c r="B513" s="4"/>
      <c r="C513" s="4"/>
      <c r="D513" s="4"/>
      <c r="E513" s="4"/>
      <c r="F513" s="4"/>
    </row>
    <row r="514">
      <c r="A514" s="4"/>
      <c r="B514" s="4"/>
      <c r="C514" s="4"/>
      <c r="D514" s="4"/>
      <c r="E514" s="4"/>
      <c r="F514" s="4"/>
    </row>
    <row r="515">
      <c r="A515" s="4"/>
      <c r="B515" s="4"/>
      <c r="C515" s="4"/>
      <c r="D515" s="4"/>
      <c r="E515" s="4"/>
      <c r="F515" s="4"/>
    </row>
    <row r="516">
      <c r="A516" s="4"/>
      <c r="B516" s="4"/>
      <c r="C516" s="4"/>
      <c r="D516" s="4"/>
      <c r="E516" s="4"/>
      <c r="F516" s="4"/>
    </row>
    <row r="517">
      <c r="A517" s="4"/>
      <c r="B517" s="4"/>
      <c r="C517" s="4"/>
      <c r="D517" s="4"/>
      <c r="E517" s="4"/>
      <c r="F517" s="4"/>
    </row>
    <row r="518">
      <c r="A518" s="4"/>
      <c r="B518" s="4"/>
      <c r="C518" s="4"/>
      <c r="D518" s="4"/>
      <c r="E518" s="4"/>
      <c r="F518" s="4"/>
    </row>
    <row r="519">
      <c r="A519" s="4"/>
      <c r="B519" s="4"/>
      <c r="C519" s="4"/>
      <c r="D519" s="4"/>
      <c r="E519" s="4"/>
      <c r="F519" s="4"/>
    </row>
    <row r="520">
      <c r="A520" s="4"/>
      <c r="B520" s="4"/>
      <c r="C520" s="4"/>
      <c r="D520" s="4"/>
      <c r="E520" s="4"/>
      <c r="F520" s="4"/>
    </row>
    <row r="521">
      <c r="A521" s="4"/>
      <c r="B521" s="4"/>
      <c r="C521" s="4"/>
      <c r="D521" s="4"/>
      <c r="E521" s="4"/>
      <c r="F521" s="4"/>
    </row>
    <row r="522">
      <c r="A522" s="4"/>
      <c r="B522" s="4"/>
      <c r="C522" s="4"/>
      <c r="D522" s="4"/>
      <c r="E522" s="4"/>
      <c r="F522" s="4"/>
    </row>
    <row r="523">
      <c r="A523" s="4"/>
      <c r="B523" s="4"/>
      <c r="C523" s="4"/>
      <c r="D523" s="4"/>
      <c r="E523" s="4"/>
      <c r="F523" s="4"/>
    </row>
    <row r="524">
      <c r="A524" s="4"/>
      <c r="B524" s="4"/>
      <c r="C524" s="4"/>
      <c r="D524" s="4"/>
      <c r="E524" s="4"/>
      <c r="F524" s="4"/>
    </row>
    <row r="525">
      <c r="A525" s="4"/>
      <c r="B525" s="4"/>
      <c r="C525" s="4"/>
      <c r="D525" s="4"/>
      <c r="E525" s="4"/>
      <c r="F525" s="4"/>
    </row>
    <row r="526">
      <c r="A526" s="4"/>
      <c r="B526" s="4"/>
      <c r="C526" s="4"/>
      <c r="D526" s="4"/>
      <c r="E526" s="4"/>
      <c r="F526" s="4"/>
    </row>
    <row r="527">
      <c r="A527" s="4"/>
      <c r="B527" s="4"/>
      <c r="C527" s="4"/>
      <c r="D527" s="4"/>
      <c r="E527" s="4"/>
      <c r="F527" s="4"/>
    </row>
    <row r="528">
      <c r="A528" s="4"/>
      <c r="B528" s="4"/>
      <c r="C528" s="4"/>
      <c r="D528" s="4"/>
      <c r="E528" s="4"/>
      <c r="F528" s="4"/>
    </row>
    <row r="529">
      <c r="A529" s="4"/>
      <c r="B529" s="4"/>
      <c r="C529" s="4"/>
      <c r="D529" s="4"/>
      <c r="E529" s="4"/>
      <c r="F529" s="4"/>
    </row>
    <row r="530">
      <c r="A530" s="4"/>
      <c r="B530" s="4"/>
      <c r="C530" s="4"/>
      <c r="D530" s="4"/>
      <c r="E530" s="4"/>
      <c r="F530" s="4"/>
    </row>
    <row r="531">
      <c r="A531" s="4"/>
      <c r="B531" s="4"/>
      <c r="C531" s="4"/>
      <c r="D531" s="4"/>
      <c r="E531" s="4"/>
      <c r="F531" s="4"/>
    </row>
    <row r="532">
      <c r="A532" s="4"/>
      <c r="B532" s="4"/>
      <c r="C532" s="4"/>
      <c r="D532" s="4"/>
      <c r="E532" s="4"/>
      <c r="F532" s="4"/>
    </row>
    <row r="533">
      <c r="A533" s="4"/>
      <c r="B533" s="4"/>
      <c r="C533" s="4"/>
      <c r="D533" s="4"/>
      <c r="E533" s="4"/>
      <c r="F533" s="4"/>
    </row>
    <row r="534">
      <c r="A534" s="4"/>
      <c r="B534" s="4"/>
      <c r="C534" s="4"/>
      <c r="D534" s="4"/>
      <c r="E534" s="4"/>
      <c r="F534" s="4"/>
    </row>
    <row r="535">
      <c r="A535" s="4"/>
      <c r="B535" s="4"/>
      <c r="C535" s="4"/>
      <c r="D535" s="4"/>
      <c r="E535" s="4"/>
      <c r="F535" s="4"/>
    </row>
    <row r="536">
      <c r="A536" s="4"/>
      <c r="B536" s="4"/>
      <c r="C536" s="4"/>
      <c r="D536" s="4"/>
      <c r="E536" s="4"/>
      <c r="F536" s="4"/>
    </row>
    <row r="537">
      <c r="A537" s="4"/>
      <c r="B537" s="4"/>
      <c r="C537" s="4"/>
      <c r="D537" s="4"/>
      <c r="E537" s="4"/>
      <c r="F537" s="4"/>
    </row>
    <row r="538">
      <c r="A538" s="4"/>
      <c r="B538" s="4"/>
      <c r="C538" s="4"/>
      <c r="D538" s="4"/>
      <c r="E538" s="4"/>
      <c r="F538" s="4"/>
    </row>
    <row r="539">
      <c r="A539" s="4"/>
      <c r="B539" s="4"/>
      <c r="C539" s="4"/>
      <c r="D539" s="4"/>
      <c r="E539" s="4"/>
      <c r="F539" s="4"/>
    </row>
    <row r="540">
      <c r="A540" s="4"/>
      <c r="B540" s="4"/>
      <c r="C540" s="4"/>
      <c r="D540" s="4"/>
      <c r="E540" s="4"/>
      <c r="F540" s="4"/>
    </row>
    <row r="541">
      <c r="A541" s="4"/>
      <c r="B541" s="4"/>
      <c r="C541" s="4"/>
      <c r="D541" s="4"/>
      <c r="E541" s="4"/>
      <c r="F541" s="4"/>
    </row>
    <row r="542">
      <c r="A542" s="4"/>
      <c r="B542" s="4"/>
      <c r="C542" s="4"/>
      <c r="D542" s="4"/>
      <c r="E542" s="4"/>
      <c r="F542" s="4"/>
    </row>
    <row r="543">
      <c r="A543" s="4"/>
      <c r="B543" s="4"/>
      <c r="C543" s="4"/>
      <c r="D543" s="4"/>
      <c r="E543" s="4"/>
      <c r="F543" s="4"/>
    </row>
    <row r="544">
      <c r="A544" s="4"/>
      <c r="B544" s="4"/>
      <c r="C544" s="4"/>
      <c r="D544" s="4"/>
      <c r="E544" s="4"/>
      <c r="F544" s="4"/>
    </row>
    <row r="545">
      <c r="A545" s="4"/>
      <c r="B545" s="4"/>
      <c r="C545" s="4"/>
      <c r="D545" s="4"/>
      <c r="E545" s="4"/>
      <c r="F545" s="4"/>
    </row>
    <row r="546">
      <c r="A546" s="4"/>
      <c r="B546" s="4"/>
      <c r="C546" s="4"/>
      <c r="D546" s="4"/>
      <c r="E546" s="4"/>
      <c r="F546" s="4"/>
    </row>
    <row r="547">
      <c r="A547" s="4"/>
      <c r="B547" s="4"/>
      <c r="C547" s="4"/>
      <c r="D547" s="4"/>
      <c r="E547" s="4"/>
      <c r="F547" s="4"/>
    </row>
    <row r="548">
      <c r="A548" s="4"/>
      <c r="B548" s="4"/>
      <c r="C548" s="4"/>
      <c r="D548" s="4"/>
      <c r="E548" s="4"/>
      <c r="F548" s="4"/>
    </row>
    <row r="549">
      <c r="A549" s="4"/>
      <c r="B549" s="4"/>
      <c r="C549" s="4"/>
      <c r="D549" s="4"/>
      <c r="E549" s="4"/>
      <c r="F549" s="4"/>
    </row>
    <row r="550">
      <c r="A550" s="4"/>
      <c r="B550" s="4"/>
      <c r="C550" s="4"/>
      <c r="D550" s="4"/>
      <c r="E550" s="4"/>
      <c r="F550" s="4"/>
    </row>
    <row r="551">
      <c r="A551" s="4"/>
      <c r="B551" s="4"/>
      <c r="C551" s="4"/>
      <c r="D551" s="4"/>
      <c r="E551" s="4"/>
      <c r="F551" s="4"/>
    </row>
    <row r="552">
      <c r="A552" s="4"/>
      <c r="B552" s="4"/>
      <c r="C552" s="4"/>
      <c r="D552" s="4"/>
      <c r="E552" s="4"/>
      <c r="F552" s="4"/>
    </row>
    <row r="553">
      <c r="A553" s="4"/>
      <c r="B553" s="4"/>
      <c r="C553" s="4"/>
      <c r="D553" s="4"/>
      <c r="E553" s="4"/>
      <c r="F553" s="4"/>
    </row>
    <row r="554">
      <c r="A554" s="4"/>
      <c r="B554" s="4"/>
      <c r="C554" s="4"/>
      <c r="D554" s="4"/>
      <c r="E554" s="4"/>
      <c r="F554" s="4"/>
    </row>
    <row r="555">
      <c r="A555" s="4"/>
      <c r="B555" s="4"/>
      <c r="C555" s="4"/>
      <c r="D555" s="4"/>
      <c r="E555" s="4"/>
      <c r="F555" s="4"/>
    </row>
    <row r="556">
      <c r="A556" s="4"/>
      <c r="B556" s="4"/>
      <c r="C556" s="4"/>
      <c r="D556" s="4"/>
      <c r="E556" s="4"/>
      <c r="F556" s="4"/>
    </row>
    <row r="557">
      <c r="A557" s="4"/>
      <c r="B557" s="4"/>
      <c r="C557" s="4"/>
      <c r="D557" s="4"/>
      <c r="E557" s="4"/>
      <c r="F557" s="4"/>
    </row>
    <row r="558">
      <c r="A558" s="4"/>
      <c r="B558" s="4"/>
      <c r="C558" s="4"/>
      <c r="D558" s="4"/>
      <c r="E558" s="4"/>
      <c r="F558" s="4"/>
    </row>
    <row r="559">
      <c r="A559" s="4"/>
      <c r="B559" s="4"/>
      <c r="C559" s="4"/>
      <c r="D559" s="4"/>
      <c r="E559" s="4"/>
      <c r="F559" s="4"/>
    </row>
    <row r="560">
      <c r="A560" s="4"/>
      <c r="B560" s="4"/>
      <c r="C560" s="4"/>
      <c r="D560" s="4"/>
      <c r="E560" s="4"/>
      <c r="F560" s="4"/>
    </row>
    <row r="561">
      <c r="A561" s="4"/>
      <c r="B561" s="4"/>
      <c r="C561" s="4"/>
      <c r="D561" s="4"/>
      <c r="E561" s="4"/>
      <c r="F561" s="4"/>
    </row>
    <row r="562">
      <c r="A562" s="4"/>
      <c r="B562" s="4"/>
      <c r="C562" s="4"/>
      <c r="D562" s="4"/>
      <c r="E562" s="4"/>
      <c r="F562" s="4"/>
    </row>
    <row r="563">
      <c r="A563" s="4"/>
      <c r="B563" s="4"/>
      <c r="C563" s="4"/>
      <c r="D563" s="4"/>
      <c r="E563" s="4"/>
      <c r="F563" s="4"/>
    </row>
    <row r="564">
      <c r="A564" s="4"/>
      <c r="B564" s="4"/>
      <c r="C564" s="4"/>
      <c r="D564" s="4"/>
      <c r="E564" s="4"/>
      <c r="F564" s="4"/>
    </row>
    <row r="565">
      <c r="A565" s="4"/>
      <c r="B565" s="4"/>
      <c r="C565" s="4"/>
      <c r="D565" s="4"/>
      <c r="E565" s="4"/>
      <c r="F565" s="4"/>
    </row>
    <row r="566">
      <c r="A566" s="4"/>
      <c r="B566" s="4"/>
      <c r="C566" s="4"/>
      <c r="D566" s="4"/>
      <c r="E566" s="4"/>
      <c r="F566" s="4"/>
    </row>
    <row r="567">
      <c r="A567" s="4"/>
      <c r="B567" s="4"/>
      <c r="C567" s="4"/>
      <c r="D567" s="4"/>
      <c r="E567" s="4"/>
      <c r="F567" s="4"/>
    </row>
    <row r="568">
      <c r="A568" s="4"/>
      <c r="B568" s="4"/>
      <c r="C568" s="4"/>
      <c r="D568" s="4"/>
      <c r="E568" s="4"/>
      <c r="F568" s="4"/>
    </row>
    <row r="569">
      <c r="A569" s="4"/>
      <c r="B569" s="4"/>
      <c r="C569" s="4"/>
      <c r="D569" s="4"/>
      <c r="E569" s="4"/>
      <c r="F569" s="4"/>
    </row>
    <row r="570">
      <c r="A570" s="4"/>
      <c r="B570" s="4"/>
      <c r="C570" s="4"/>
      <c r="D570" s="4"/>
      <c r="E570" s="4"/>
      <c r="F570" s="4"/>
    </row>
    <row r="571">
      <c r="A571" s="4"/>
      <c r="B571" s="4"/>
      <c r="C571" s="4"/>
      <c r="D571" s="4"/>
      <c r="E571" s="4"/>
      <c r="F571" s="4"/>
    </row>
    <row r="572">
      <c r="A572" s="4"/>
      <c r="B572" s="4"/>
      <c r="C572" s="4"/>
      <c r="D572" s="4"/>
      <c r="E572" s="4"/>
      <c r="F572" s="4"/>
    </row>
    <row r="573">
      <c r="A573" s="4"/>
      <c r="B573" s="4"/>
      <c r="C573" s="4"/>
      <c r="D573" s="4"/>
      <c r="E573" s="4"/>
      <c r="F573" s="4"/>
    </row>
    <row r="574">
      <c r="A574" s="4"/>
      <c r="B574" s="4"/>
      <c r="C574" s="4"/>
      <c r="D574" s="4"/>
      <c r="E574" s="4"/>
      <c r="F574" s="4"/>
    </row>
    <row r="575">
      <c r="A575" s="4"/>
      <c r="B575" s="4"/>
      <c r="C575" s="4"/>
      <c r="D575" s="4"/>
      <c r="E575" s="4"/>
      <c r="F575" s="4"/>
    </row>
    <row r="576">
      <c r="A576" s="4"/>
      <c r="B576" s="4"/>
      <c r="C576" s="4"/>
      <c r="D576" s="4"/>
      <c r="E576" s="4"/>
      <c r="F576" s="4"/>
    </row>
    <row r="577">
      <c r="A577" s="4"/>
      <c r="B577" s="4"/>
      <c r="C577" s="4"/>
      <c r="D577" s="4"/>
      <c r="E577" s="4"/>
      <c r="F577" s="4"/>
    </row>
    <row r="578">
      <c r="A578" s="4"/>
      <c r="B578" s="4"/>
      <c r="C578" s="4"/>
      <c r="D578" s="4"/>
      <c r="E578" s="4"/>
      <c r="F578" s="4"/>
    </row>
    <row r="579">
      <c r="A579" s="4"/>
      <c r="B579" s="4"/>
      <c r="C579" s="4"/>
      <c r="D579" s="4"/>
      <c r="E579" s="4"/>
      <c r="F579" s="4"/>
    </row>
    <row r="580">
      <c r="A580" s="4"/>
      <c r="B580" s="4"/>
      <c r="C580" s="4"/>
      <c r="D580" s="4"/>
      <c r="E580" s="4"/>
      <c r="F580" s="4"/>
    </row>
    <row r="581">
      <c r="A581" s="4"/>
      <c r="B581" s="4"/>
      <c r="C581" s="4"/>
      <c r="D581" s="4"/>
      <c r="E581" s="4"/>
      <c r="F581" s="4"/>
    </row>
    <row r="582">
      <c r="A582" s="4"/>
      <c r="B582" s="4"/>
      <c r="C582" s="4"/>
      <c r="D582" s="4"/>
      <c r="E582" s="4"/>
      <c r="F582" s="4"/>
    </row>
    <row r="583">
      <c r="A583" s="4"/>
      <c r="B583" s="4"/>
      <c r="C583" s="4"/>
      <c r="D583" s="4"/>
      <c r="E583" s="4"/>
      <c r="F583" s="4"/>
    </row>
    <row r="584">
      <c r="A584" s="4"/>
      <c r="B584" s="4"/>
      <c r="C584" s="4"/>
      <c r="D584" s="4"/>
      <c r="E584" s="4"/>
      <c r="F584" s="4"/>
    </row>
    <row r="585">
      <c r="A585" s="4"/>
      <c r="B585" s="4"/>
      <c r="C585" s="4"/>
      <c r="D585" s="4"/>
      <c r="E585" s="4"/>
      <c r="F585" s="4"/>
    </row>
    <row r="586">
      <c r="A586" s="4"/>
      <c r="B586" s="4"/>
      <c r="C586" s="4"/>
      <c r="D586" s="4"/>
      <c r="E586" s="4"/>
      <c r="F586" s="4"/>
    </row>
    <row r="587">
      <c r="A587" s="4"/>
      <c r="B587" s="4"/>
      <c r="C587" s="4"/>
      <c r="D587" s="4"/>
      <c r="E587" s="4"/>
      <c r="F587" s="4"/>
    </row>
    <row r="588">
      <c r="A588" s="4"/>
      <c r="B588" s="4"/>
      <c r="C588" s="4"/>
      <c r="D588" s="4"/>
      <c r="E588" s="4"/>
      <c r="F588" s="4"/>
    </row>
    <row r="589">
      <c r="A589" s="4"/>
      <c r="B589" s="4"/>
      <c r="C589" s="4"/>
      <c r="D589" s="4"/>
      <c r="E589" s="4"/>
      <c r="F589" s="4"/>
    </row>
    <row r="590">
      <c r="A590" s="4"/>
      <c r="B590" s="4"/>
      <c r="C590" s="4"/>
      <c r="D590" s="4"/>
      <c r="E590" s="4"/>
      <c r="F590" s="4"/>
    </row>
    <row r="591">
      <c r="A591" s="4"/>
      <c r="B591" s="4"/>
      <c r="C591" s="4"/>
      <c r="D591" s="4"/>
      <c r="E591" s="4"/>
      <c r="F591" s="4"/>
    </row>
    <row r="592">
      <c r="A592" s="4"/>
      <c r="B592" s="4"/>
      <c r="C592" s="4"/>
      <c r="D592" s="4"/>
      <c r="E592" s="4"/>
      <c r="F592" s="4"/>
    </row>
    <row r="593">
      <c r="A593" s="4"/>
      <c r="B593" s="4"/>
      <c r="C593" s="4"/>
      <c r="D593" s="4"/>
      <c r="E593" s="4"/>
      <c r="F593" s="4"/>
    </row>
    <row r="594">
      <c r="A594" s="4"/>
      <c r="B594" s="4"/>
      <c r="C594" s="4"/>
      <c r="D594" s="4"/>
      <c r="E594" s="4"/>
      <c r="F594" s="4"/>
    </row>
    <row r="595">
      <c r="A595" s="4"/>
      <c r="B595" s="4"/>
      <c r="C595" s="4"/>
      <c r="D595" s="4"/>
      <c r="E595" s="4"/>
      <c r="F595" s="4"/>
    </row>
    <row r="596">
      <c r="A596" s="4"/>
      <c r="B596" s="4"/>
      <c r="C596" s="4"/>
      <c r="D596" s="4"/>
      <c r="E596" s="4"/>
      <c r="F596" s="4"/>
    </row>
    <row r="597">
      <c r="A597" s="4"/>
      <c r="B597" s="4"/>
      <c r="C597" s="4"/>
      <c r="D597" s="4"/>
      <c r="E597" s="4"/>
      <c r="F597" s="4"/>
    </row>
    <row r="598">
      <c r="A598" s="4"/>
      <c r="B598" s="4"/>
      <c r="C598" s="4"/>
      <c r="D598" s="4"/>
      <c r="E598" s="4"/>
      <c r="F598" s="4"/>
    </row>
    <row r="599">
      <c r="A599" s="4"/>
      <c r="B599" s="4"/>
      <c r="C599" s="4"/>
      <c r="D599" s="4"/>
      <c r="E599" s="4"/>
      <c r="F599" s="4"/>
    </row>
    <row r="600">
      <c r="A600" s="4"/>
      <c r="B600" s="4"/>
      <c r="C600" s="4"/>
      <c r="D600" s="4"/>
      <c r="E600" s="4"/>
      <c r="F600" s="4"/>
    </row>
    <row r="601">
      <c r="A601" s="4"/>
      <c r="B601" s="4"/>
      <c r="C601" s="4"/>
      <c r="D601" s="4"/>
      <c r="E601" s="4"/>
      <c r="F601" s="4"/>
    </row>
    <row r="602">
      <c r="A602" s="4"/>
      <c r="B602" s="4"/>
      <c r="C602" s="4"/>
      <c r="D602" s="4"/>
      <c r="E602" s="4"/>
      <c r="F602" s="4"/>
    </row>
    <row r="603">
      <c r="A603" s="4"/>
      <c r="B603" s="4"/>
      <c r="C603" s="4"/>
      <c r="D603" s="4"/>
      <c r="E603" s="4"/>
      <c r="F603" s="4"/>
    </row>
    <row r="604">
      <c r="A604" s="4"/>
      <c r="B604" s="4"/>
      <c r="C604" s="4"/>
      <c r="D604" s="4"/>
      <c r="E604" s="4"/>
      <c r="F604" s="4"/>
    </row>
    <row r="605">
      <c r="A605" s="4"/>
      <c r="B605" s="4"/>
      <c r="C605" s="4"/>
      <c r="D605" s="4"/>
      <c r="E605" s="4"/>
      <c r="F605" s="4"/>
    </row>
    <row r="606">
      <c r="A606" s="4"/>
      <c r="B606" s="4"/>
      <c r="C606" s="4"/>
      <c r="D606" s="4"/>
      <c r="E606" s="4"/>
      <c r="F606" s="4"/>
    </row>
    <row r="607">
      <c r="A607" s="4"/>
      <c r="B607" s="4"/>
      <c r="C607" s="4"/>
      <c r="D607" s="4"/>
      <c r="E607" s="4"/>
      <c r="F607" s="4"/>
    </row>
    <row r="608">
      <c r="A608" s="4"/>
      <c r="B608" s="4"/>
      <c r="C608" s="4"/>
      <c r="D608" s="4"/>
      <c r="E608" s="4"/>
      <c r="F608" s="4"/>
    </row>
    <row r="609">
      <c r="A609" s="4"/>
      <c r="B609" s="4"/>
      <c r="C609" s="4"/>
      <c r="D609" s="4"/>
      <c r="E609" s="4"/>
      <c r="F609" s="4"/>
    </row>
    <row r="610">
      <c r="A610" s="4"/>
      <c r="B610" s="4"/>
      <c r="C610" s="4"/>
      <c r="D610" s="4"/>
      <c r="E610" s="4"/>
      <c r="F610" s="4"/>
    </row>
    <row r="611">
      <c r="A611" s="4"/>
      <c r="B611" s="4"/>
      <c r="C611" s="4"/>
      <c r="D611" s="4"/>
      <c r="E611" s="4"/>
      <c r="F611" s="4"/>
    </row>
    <row r="612">
      <c r="A612" s="4"/>
      <c r="B612" s="4"/>
      <c r="C612" s="4"/>
      <c r="D612" s="4"/>
      <c r="E612" s="4"/>
      <c r="F612" s="4"/>
    </row>
    <row r="613">
      <c r="A613" s="4"/>
      <c r="B613" s="4"/>
      <c r="C613" s="4"/>
      <c r="D613" s="4"/>
      <c r="E613" s="4"/>
      <c r="F613" s="4"/>
    </row>
    <row r="614">
      <c r="A614" s="4"/>
      <c r="B614" s="4"/>
      <c r="C614" s="4"/>
      <c r="D614" s="4"/>
      <c r="E614" s="4"/>
      <c r="F614" s="4"/>
    </row>
    <row r="615">
      <c r="A615" s="4"/>
      <c r="B615" s="4"/>
      <c r="C615" s="4"/>
      <c r="D615" s="4"/>
      <c r="E615" s="4"/>
      <c r="F615" s="4"/>
    </row>
    <row r="616">
      <c r="A616" s="4"/>
      <c r="B616" s="4"/>
      <c r="C616" s="4"/>
      <c r="D616" s="4"/>
      <c r="E616" s="4"/>
      <c r="F616" s="4"/>
    </row>
    <row r="617">
      <c r="A617" s="4"/>
      <c r="B617" s="4"/>
      <c r="C617" s="4"/>
      <c r="D617" s="4"/>
      <c r="E617" s="4"/>
      <c r="F617" s="4"/>
    </row>
    <row r="618">
      <c r="A618" s="4"/>
      <c r="B618" s="4"/>
      <c r="C618" s="4"/>
      <c r="D618" s="4"/>
      <c r="E618" s="4"/>
      <c r="F618" s="4"/>
    </row>
    <row r="619">
      <c r="A619" s="4"/>
      <c r="B619" s="4"/>
      <c r="C619" s="4"/>
      <c r="D619" s="4"/>
      <c r="E619" s="4"/>
      <c r="F619" s="4"/>
    </row>
    <row r="620">
      <c r="A620" s="4"/>
      <c r="B620" s="4"/>
      <c r="C620" s="4"/>
      <c r="D620" s="4"/>
      <c r="E620" s="4"/>
      <c r="F620" s="4"/>
    </row>
    <row r="621">
      <c r="A621" s="4"/>
      <c r="B621" s="4"/>
      <c r="C621" s="4"/>
      <c r="D621" s="4"/>
      <c r="E621" s="4"/>
      <c r="F621" s="4"/>
    </row>
    <row r="622">
      <c r="A622" s="4"/>
      <c r="B622" s="4"/>
      <c r="C622" s="4"/>
      <c r="D622" s="4"/>
      <c r="E622" s="4"/>
      <c r="F622" s="4"/>
    </row>
    <row r="623">
      <c r="A623" s="4"/>
      <c r="B623" s="4"/>
      <c r="C623" s="4"/>
      <c r="D623" s="4"/>
      <c r="E623" s="4"/>
      <c r="F623" s="4"/>
    </row>
    <row r="624">
      <c r="A624" s="4"/>
      <c r="B624" s="4"/>
      <c r="C624" s="4"/>
      <c r="D624" s="4"/>
      <c r="E624" s="4"/>
      <c r="F624" s="4"/>
    </row>
    <row r="625">
      <c r="A625" s="4"/>
      <c r="B625" s="4"/>
      <c r="C625" s="4"/>
      <c r="D625" s="4"/>
      <c r="E625" s="4"/>
      <c r="F625" s="4"/>
    </row>
    <row r="626">
      <c r="A626" s="4"/>
      <c r="B626" s="4"/>
      <c r="C626" s="4"/>
      <c r="D626" s="4"/>
      <c r="E626" s="4"/>
      <c r="F626" s="4"/>
    </row>
    <row r="627">
      <c r="A627" s="4"/>
      <c r="B627" s="4"/>
      <c r="C627" s="4"/>
      <c r="D627" s="4"/>
      <c r="E627" s="4"/>
      <c r="F627" s="4"/>
    </row>
    <row r="628">
      <c r="A628" s="4"/>
      <c r="B628" s="4"/>
      <c r="C628" s="4"/>
      <c r="D628" s="4"/>
      <c r="E628" s="4"/>
      <c r="F628" s="4"/>
    </row>
    <row r="629">
      <c r="A629" s="4"/>
      <c r="B629" s="4"/>
      <c r="C629" s="4"/>
      <c r="D629" s="4"/>
      <c r="E629" s="4"/>
      <c r="F629" s="4"/>
    </row>
    <row r="630">
      <c r="A630" s="4"/>
      <c r="B630" s="4"/>
      <c r="C630" s="4"/>
      <c r="D630" s="4"/>
      <c r="E630" s="4"/>
      <c r="F630" s="4"/>
    </row>
    <row r="631">
      <c r="A631" s="4"/>
      <c r="B631" s="4"/>
      <c r="C631" s="4"/>
      <c r="D631" s="4"/>
      <c r="E631" s="4"/>
      <c r="F631" s="4"/>
    </row>
    <row r="632">
      <c r="A632" s="4"/>
      <c r="B632" s="4"/>
      <c r="C632" s="4"/>
      <c r="D632" s="4"/>
      <c r="E632" s="4"/>
      <c r="F632" s="4"/>
    </row>
    <row r="633">
      <c r="A633" s="4"/>
      <c r="B633" s="4"/>
      <c r="C633" s="4"/>
      <c r="D633" s="4"/>
      <c r="E633" s="4"/>
      <c r="F633" s="4"/>
    </row>
    <row r="634">
      <c r="A634" s="4"/>
      <c r="B634" s="4"/>
      <c r="C634" s="4"/>
      <c r="D634" s="4"/>
      <c r="E634" s="4"/>
      <c r="F634" s="4"/>
    </row>
    <row r="635">
      <c r="A635" s="4"/>
      <c r="B635" s="4"/>
      <c r="C635" s="4"/>
      <c r="D635" s="4"/>
      <c r="E635" s="4"/>
      <c r="F635" s="4"/>
    </row>
    <row r="636">
      <c r="A636" s="4"/>
      <c r="B636" s="4"/>
      <c r="C636" s="4"/>
      <c r="D636" s="4"/>
      <c r="E636" s="4"/>
      <c r="F636" s="4"/>
    </row>
    <row r="637">
      <c r="A637" s="4"/>
      <c r="B637" s="4"/>
      <c r="C637" s="4"/>
      <c r="D637" s="4"/>
      <c r="E637" s="4"/>
      <c r="F637" s="4"/>
    </row>
    <row r="638">
      <c r="A638" s="4"/>
      <c r="B638" s="4"/>
      <c r="C638" s="4"/>
      <c r="D638" s="4"/>
      <c r="E638" s="4"/>
      <c r="F638" s="4"/>
    </row>
    <row r="639">
      <c r="A639" s="4"/>
      <c r="B639" s="4"/>
      <c r="C639" s="4"/>
      <c r="D639" s="4"/>
      <c r="E639" s="4"/>
      <c r="F639" s="4"/>
    </row>
    <row r="640">
      <c r="A640" s="4"/>
      <c r="B640" s="4"/>
      <c r="C640" s="4"/>
      <c r="D640" s="4"/>
      <c r="E640" s="4"/>
      <c r="F640" s="4"/>
    </row>
    <row r="641">
      <c r="A641" s="4"/>
      <c r="B641" s="4"/>
      <c r="C641" s="4"/>
      <c r="D641" s="4"/>
      <c r="E641" s="4"/>
      <c r="F641" s="4"/>
    </row>
    <row r="642">
      <c r="A642" s="4"/>
      <c r="B642" s="4"/>
      <c r="C642" s="4"/>
      <c r="D642" s="4"/>
      <c r="E642" s="4"/>
      <c r="F642" s="4"/>
    </row>
    <row r="643">
      <c r="A643" s="4"/>
      <c r="B643" s="4"/>
      <c r="C643" s="4"/>
      <c r="D643" s="4"/>
      <c r="E643" s="4"/>
      <c r="F643" s="4"/>
    </row>
    <row r="644">
      <c r="A644" s="4"/>
      <c r="B644" s="4"/>
      <c r="C644" s="4"/>
      <c r="D644" s="4"/>
      <c r="E644" s="4"/>
      <c r="F644" s="4"/>
    </row>
    <row r="645">
      <c r="A645" s="4"/>
      <c r="B645" s="4"/>
      <c r="C645" s="4"/>
      <c r="D645" s="4"/>
      <c r="E645" s="4"/>
      <c r="F645" s="4"/>
    </row>
    <row r="646">
      <c r="A646" s="4"/>
      <c r="B646" s="4"/>
      <c r="C646" s="4"/>
      <c r="D646" s="4"/>
      <c r="E646" s="4"/>
      <c r="F646" s="4"/>
    </row>
    <row r="647">
      <c r="A647" s="4"/>
      <c r="B647" s="4"/>
      <c r="C647" s="4"/>
      <c r="D647" s="4"/>
      <c r="E647" s="4"/>
      <c r="F647" s="4"/>
    </row>
    <row r="648">
      <c r="A648" s="4"/>
      <c r="B648" s="4"/>
      <c r="C648" s="4"/>
      <c r="D648" s="4"/>
      <c r="E648" s="4"/>
      <c r="F648" s="4"/>
    </row>
    <row r="649">
      <c r="A649" s="4"/>
      <c r="B649" s="4"/>
      <c r="C649" s="4"/>
      <c r="D649" s="4"/>
      <c r="E649" s="4"/>
      <c r="F649" s="4"/>
    </row>
    <row r="650">
      <c r="A650" s="4"/>
      <c r="B650" s="4"/>
      <c r="C650" s="4"/>
      <c r="D650" s="4"/>
      <c r="E650" s="4"/>
      <c r="F650" s="4"/>
    </row>
    <row r="651">
      <c r="A651" s="4"/>
      <c r="B651" s="4"/>
      <c r="C651" s="4"/>
      <c r="D651" s="4"/>
      <c r="E651" s="4"/>
      <c r="F651" s="4"/>
    </row>
    <row r="652">
      <c r="A652" s="4"/>
      <c r="B652" s="4"/>
      <c r="C652" s="4"/>
      <c r="D652" s="4"/>
      <c r="E652" s="4"/>
      <c r="F652" s="4"/>
    </row>
    <row r="653">
      <c r="A653" s="4"/>
      <c r="B653" s="4"/>
      <c r="C653" s="4"/>
      <c r="D653" s="4"/>
      <c r="E653" s="4"/>
      <c r="F653" s="4"/>
    </row>
    <row r="654">
      <c r="A654" s="4"/>
      <c r="B654" s="4"/>
      <c r="C654" s="4"/>
      <c r="D654" s="4"/>
      <c r="E654" s="4"/>
      <c r="F654" s="4"/>
    </row>
    <row r="655">
      <c r="A655" s="4"/>
      <c r="B655" s="4"/>
      <c r="C655" s="4"/>
      <c r="D655" s="4"/>
      <c r="E655" s="4"/>
      <c r="F655" s="4"/>
    </row>
    <row r="656">
      <c r="A656" s="4"/>
      <c r="B656" s="4"/>
      <c r="C656" s="4"/>
      <c r="D656" s="4"/>
      <c r="E656" s="4"/>
      <c r="F656" s="4"/>
    </row>
    <row r="657">
      <c r="A657" s="4"/>
      <c r="B657" s="4"/>
      <c r="C657" s="4"/>
      <c r="D657" s="4"/>
      <c r="E657" s="4"/>
      <c r="F657" s="4"/>
    </row>
    <row r="658">
      <c r="A658" s="4"/>
      <c r="B658" s="4"/>
      <c r="C658" s="4"/>
      <c r="D658" s="4"/>
      <c r="E658" s="4"/>
      <c r="F658" s="4"/>
    </row>
    <row r="659">
      <c r="A659" s="4"/>
      <c r="B659" s="4"/>
      <c r="C659" s="4"/>
      <c r="D659" s="4"/>
      <c r="E659" s="4"/>
      <c r="F659" s="4"/>
    </row>
    <row r="660">
      <c r="A660" s="4"/>
      <c r="B660" s="4"/>
      <c r="C660" s="4"/>
      <c r="D660" s="4"/>
      <c r="E660" s="4"/>
      <c r="F660" s="4"/>
    </row>
    <row r="661">
      <c r="A661" s="4"/>
      <c r="B661" s="4"/>
      <c r="C661" s="4"/>
      <c r="D661" s="4"/>
      <c r="E661" s="4"/>
      <c r="F661" s="4"/>
    </row>
    <row r="662">
      <c r="A662" s="4"/>
      <c r="B662" s="4"/>
      <c r="C662" s="4"/>
      <c r="D662" s="4"/>
      <c r="E662" s="4"/>
      <c r="F662" s="4"/>
    </row>
    <row r="663">
      <c r="A663" s="4"/>
      <c r="B663" s="4"/>
      <c r="C663" s="4"/>
      <c r="D663" s="4"/>
      <c r="E663" s="4"/>
      <c r="F663" s="4"/>
    </row>
    <row r="664">
      <c r="A664" s="4"/>
      <c r="B664" s="4"/>
      <c r="C664" s="4"/>
      <c r="D664" s="4"/>
      <c r="E664" s="4"/>
      <c r="F664" s="4"/>
    </row>
    <row r="665">
      <c r="A665" s="4"/>
      <c r="B665" s="4"/>
      <c r="C665" s="4"/>
      <c r="D665" s="4"/>
      <c r="E665" s="4"/>
      <c r="F665" s="4"/>
    </row>
    <row r="666">
      <c r="A666" s="4"/>
      <c r="B666" s="4"/>
      <c r="C666" s="4"/>
      <c r="D666" s="4"/>
      <c r="E666" s="4"/>
      <c r="F666" s="4"/>
    </row>
    <row r="667">
      <c r="A667" s="4"/>
      <c r="B667" s="4"/>
      <c r="C667" s="4"/>
      <c r="D667" s="4"/>
      <c r="E667" s="4"/>
      <c r="F667" s="4"/>
    </row>
    <row r="668">
      <c r="A668" s="4"/>
      <c r="B668" s="4"/>
      <c r="C668" s="4"/>
      <c r="D668" s="4"/>
      <c r="E668" s="4"/>
      <c r="F668" s="4"/>
    </row>
    <row r="669">
      <c r="A669" s="4"/>
      <c r="B669" s="4"/>
      <c r="C669" s="4"/>
      <c r="D669" s="4"/>
      <c r="E669" s="4"/>
      <c r="F669" s="4"/>
    </row>
    <row r="670">
      <c r="A670" s="4"/>
      <c r="B670" s="4"/>
      <c r="C670" s="4"/>
      <c r="D670" s="4"/>
      <c r="E670" s="4"/>
      <c r="F670" s="4"/>
    </row>
    <row r="671">
      <c r="A671" s="4"/>
      <c r="B671" s="4"/>
      <c r="C671" s="4"/>
      <c r="D671" s="4"/>
      <c r="E671" s="4"/>
      <c r="F671" s="4"/>
    </row>
    <row r="672">
      <c r="A672" s="4"/>
      <c r="B672" s="4"/>
      <c r="C672" s="4"/>
      <c r="D672" s="4"/>
      <c r="E672" s="4"/>
      <c r="F672" s="4"/>
    </row>
    <row r="673">
      <c r="A673" s="4"/>
      <c r="B673" s="4"/>
      <c r="C673" s="4"/>
      <c r="D673" s="4"/>
      <c r="E673" s="4"/>
      <c r="F673" s="4"/>
    </row>
    <row r="674">
      <c r="A674" s="4"/>
      <c r="B674" s="4"/>
      <c r="C674" s="4"/>
      <c r="D674" s="4"/>
      <c r="E674" s="4"/>
      <c r="F674" s="4"/>
    </row>
    <row r="675">
      <c r="A675" s="4"/>
      <c r="B675" s="4"/>
      <c r="C675" s="4"/>
      <c r="D675" s="4"/>
      <c r="E675" s="4"/>
      <c r="F675" s="4"/>
    </row>
    <row r="676">
      <c r="A676" s="4"/>
      <c r="B676" s="4"/>
      <c r="C676" s="4"/>
      <c r="D676" s="4"/>
      <c r="E676" s="4"/>
      <c r="F676" s="4"/>
    </row>
    <row r="677">
      <c r="A677" s="4"/>
      <c r="B677" s="4"/>
      <c r="C677" s="4"/>
      <c r="D677" s="4"/>
      <c r="E677" s="4"/>
      <c r="F677" s="4"/>
    </row>
    <row r="678">
      <c r="A678" s="4"/>
      <c r="B678" s="4"/>
      <c r="C678" s="4"/>
      <c r="D678" s="4"/>
      <c r="E678" s="4"/>
      <c r="F678" s="4"/>
    </row>
    <row r="679">
      <c r="A679" s="4"/>
      <c r="B679" s="4"/>
      <c r="C679" s="4"/>
      <c r="D679" s="4"/>
      <c r="E679" s="4"/>
      <c r="F679" s="4"/>
    </row>
    <row r="680">
      <c r="A680" s="4"/>
      <c r="B680" s="4"/>
      <c r="C680" s="4"/>
      <c r="D680" s="4"/>
      <c r="E680" s="4"/>
      <c r="F680" s="4"/>
    </row>
    <row r="681">
      <c r="A681" s="4"/>
      <c r="B681" s="4"/>
      <c r="C681" s="4"/>
      <c r="D681" s="4"/>
      <c r="E681" s="4"/>
      <c r="F681" s="4"/>
    </row>
    <row r="682">
      <c r="A682" s="4"/>
      <c r="B682" s="4"/>
      <c r="C682" s="4"/>
      <c r="D682" s="4"/>
      <c r="E682" s="4"/>
      <c r="F682" s="4"/>
    </row>
    <row r="683">
      <c r="A683" s="4"/>
      <c r="B683" s="4"/>
      <c r="C683" s="4"/>
      <c r="D683" s="4"/>
      <c r="E683" s="4"/>
      <c r="F683" s="4"/>
    </row>
    <row r="684">
      <c r="A684" s="4"/>
      <c r="B684" s="4"/>
      <c r="C684" s="4"/>
      <c r="D684" s="4"/>
      <c r="E684" s="4"/>
      <c r="F684" s="4"/>
    </row>
    <row r="685">
      <c r="A685" s="4"/>
      <c r="B685" s="4"/>
      <c r="C685" s="4"/>
      <c r="D685" s="4"/>
      <c r="E685" s="4"/>
      <c r="F685" s="4"/>
    </row>
    <row r="686">
      <c r="A686" s="4"/>
      <c r="B686" s="4"/>
      <c r="C686" s="4"/>
      <c r="D686" s="4"/>
      <c r="E686" s="4"/>
      <c r="F686" s="4"/>
    </row>
    <row r="687">
      <c r="A687" s="4"/>
      <c r="B687" s="4"/>
      <c r="C687" s="4"/>
      <c r="D687" s="4"/>
      <c r="E687" s="4"/>
      <c r="F687" s="4"/>
    </row>
    <row r="688">
      <c r="A688" s="4"/>
      <c r="B688" s="4"/>
      <c r="C688" s="4"/>
      <c r="D688" s="4"/>
      <c r="E688" s="4"/>
      <c r="F688" s="4"/>
    </row>
    <row r="689">
      <c r="A689" s="4"/>
      <c r="B689" s="4"/>
      <c r="C689" s="4"/>
      <c r="D689" s="4"/>
      <c r="E689" s="4"/>
      <c r="F689" s="4"/>
    </row>
    <row r="690">
      <c r="A690" s="4"/>
      <c r="B690" s="4"/>
      <c r="C690" s="4"/>
      <c r="D690" s="4"/>
      <c r="E690" s="4"/>
      <c r="F690" s="4"/>
    </row>
    <row r="691">
      <c r="A691" s="4"/>
      <c r="B691" s="4"/>
      <c r="C691" s="4"/>
      <c r="D691" s="4"/>
      <c r="E691" s="4"/>
      <c r="F691" s="4"/>
    </row>
    <row r="692">
      <c r="A692" s="4"/>
      <c r="B692" s="4"/>
      <c r="C692" s="4"/>
      <c r="D692" s="4"/>
      <c r="E692" s="4"/>
      <c r="F692" s="4"/>
    </row>
    <row r="693">
      <c r="A693" s="4"/>
      <c r="B693" s="4"/>
      <c r="C693" s="4"/>
      <c r="D693" s="4"/>
      <c r="E693" s="4"/>
      <c r="F693" s="4"/>
    </row>
    <row r="694">
      <c r="A694" s="4"/>
      <c r="B694" s="4"/>
      <c r="C694" s="4"/>
      <c r="D694" s="4"/>
      <c r="E694" s="4"/>
      <c r="F694" s="4"/>
    </row>
    <row r="695">
      <c r="A695" s="4"/>
      <c r="B695" s="4"/>
      <c r="C695" s="4"/>
      <c r="D695" s="4"/>
      <c r="E695" s="4"/>
      <c r="F695" s="4"/>
    </row>
    <row r="696">
      <c r="A696" s="4"/>
      <c r="B696" s="4"/>
      <c r="C696" s="4"/>
      <c r="D696" s="4"/>
      <c r="E696" s="4"/>
      <c r="F696" s="4"/>
    </row>
    <row r="697">
      <c r="A697" s="4"/>
      <c r="B697" s="4"/>
      <c r="C697" s="4"/>
      <c r="D697" s="4"/>
      <c r="E697" s="4"/>
      <c r="F697" s="4"/>
    </row>
    <row r="698">
      <c r="A698" s="4"/>
      <c r="B698" s="4"/>
      <c r="C698" s="4"/>
      <c r="D698" s="4"/>
      <c r="E698" s="4"/>
      <c r="F698" s="4"/>
    </row>
    <row r="699">
      <c r="A699" s="4"/>
      <c r="B699" s="4"/>
      <c r="C699" s="4"/>
      <c r="D699" s="4"/>
      <c r="E699" s="4"/>
      <c r="F699" s="4"/>
    </row>
    <row r="700">
      <c r="A700" s="4"/>
      <c r="B700" s="4"/>
      <c r="C700" s="4"/>
      <c r="D700" s="4"/>
      <c r="E700" s="4"/>
      <c r="F700" s="4"/>
    </row>
    <row r="701">
      <c r="A701" s="4"/>
      <c r="B701" s="4"/>
      <c r="C701" s="4"/>
      <c r="D701" s="4"/>
      <c r="E701" s="4"/>
      <c r="F701" s="4"/>
    </row>
    <row r="702">
      <c r="A702" s="4"/>
      <c r="B702" s="4"/>
      <c r="C702" s="4"/>
      <c r="D702" s="4"/>
      <c r="E702" s="4"/>
      <c r="F702" s="4"/>
    </row>
    <row r="703">
      <c r="A703" s="4"/>
      <c r="B703" s="4"/>
      <c r="C703" s="4"/>
      <c r="D703" s="4"/>
      <c r="E703" s="4"/>
      <c r="F703" s="4"/>
    </row>
    <row r="704">
      <c r="A704" s="4"/>
      <c r="B704" s="4"/>
      <c r="C704" s="4"/>
      <c r="D704" s="4"/>
      <c r="E704" s="4"/>
      <c r="F704" s="4"/>
    </row>
    <row r="705">
      <c r="A705" s="4"/>
      <c r="B705" s="4"/>
      <c r="C705" s="4"/>
      <c r="D705" s="4"/>
      <c r="E705" s="4"/>
      <c r="F705" s="4"/>
    </row>
    <row r="706">
      <c r="A706" s="4"/>
      <c r="B706" s="4"/>
      <c r="C706" s="4"/>
      <c r="D706" s="4"/>
      <c r="E706" s="4"/>
      <c r="F706" s="4"/>
    </row>
    <row r="707">
      <c r="A707" s="4"/>
      <c r="B707" s="4"/>
      <c r="C707" s="4"/>
      <c r="D707" s="4"/>
      <c r="E707" s="4"/>
      <c r="F707" s="4"/>
    </row>
    <row r="708">
      <c r="A708" s="4"/>
      <c r="B708" s="4"/>
      <c r="C708" s="4"/>
      <c r="D708" s="4"/>
      <c r="E708" s="4"/>
      <c r="F708" s="4"/>
    </row>
    <row r="709">
      <c r="A709" s="4"/>
      <c r="B709" s="4"/>
      <c r="C709" s="4"/>
      <c r="D709" s="4"/>
      <c r="E709" s="4"/>
      <c r="F709" s="4"/>
    </row>
    <row r="710">
      <c r="A710" s="4"/>
      <c r="B710" s="4"/>
      <c r="C710" s="4"/>
      <c r="D710" s="4"/>
      <c r="E710" s="4"/>
      <c r="F710" s="4"/>
    </row>
    <row r="711">
      <c r="A711" s="4"/>
      <c r="B711" s="4"/>
      <c r="C711" s="4"/>
      <c r="D711" s="4"/>
      <c r="E711" s="4"/>
      <c r="F711" s="4"/>
    </row>
    <row r="712">
      <c r="A712" s="4"/>
      <c r="B712" s="4"/>
      <c r="C712" s="4"/>
      <c r="D712" s="4"/>
      <c r="E712" s="4"/>
      <c r="F712" s="4"/>
    </row>
    <row r="713">
      <c r="A713" s="4"/>
      <c r="B713" s="4"/>
      <c r="C713" s="4"/>
      <c r="D713" s="4"/>
      <c r="E713" s="4"/>
      <c r="F713" s="4"/>
    </row>
    <row r="714">
      <c r="A714" s="4"/>
      <c r="B714" s="4"/>
      <c r="C714" s="4"/>
      <c r="D714" s="4"/>
      <c r="E714" s="4"/>
      <c r="F714" s="4"/>
    </row>
    <row r="715">
      <c r="A715" s="4"/>
      <c r="B715" s="4"/>
      <c r="C715" s="4"/>
      <c r="D715" s="4"/>
      <c r="E715" s="4"/>
      <c r="F715" s="4"/>
    </row>
    <row r="716">
      <c r="A716" s="4"/>
      <c r="B716" s="4"/>
      <c r="C716" s="4"/>
      <c r="D716" s="4"/>
      <c r="E716" s="4"/>
      <c r="F716" s="4"/>
    </row>
    <row r="717">
      <c r="A717" s="4"/>
      <c r="B717" s="4"/>
      <c r="C717" s="4"/>
      <c r="D717" s="4"/>
      <c r="E717" s="4"/>
      <c r="F717" s="4"/>
    </row>
    <row r="718">
      <c r="A718" s="4"/>
      <c r="B718" s="4"/>
      <c r="C718" s="4"/>
      <c r="D718" s="4"/>
      <c r="E718" s="4"/>
      <c r="F718" s="4"/>
    </row>
    <row r="719">
      <c r="A719" s="4"/>
      <c r="B719" s="4"/>
      <c r="C719" s="4"/>
      <c r="D719" s="4"/>
      <c r="E719" s="4"/>
      <c r="F719" s="4"/>
    </row>
    <row r="720">
      <c r="A720" s="4"/>
      <c r="B720" s="4"/>
      <c r="C720" s="4"/>
      <c r="D720" s="4"/>
      <c r="E720" s="4"/>
      <c r="F720" s="4"/>
    </row>
    <row r="721">
      <c r="A721" s="4"/>
      <c r="B721" s="4"/>
      <c r="C721" s="4"/>
      <c r="D721" s="4"/>
      <c r="E721" s="4"/>
      <c r="F721" s="4"/>
    </row>
    <row r="722">
      <c r="A722" s="4"/>
      <c r="B722" s="4"/>
      <c r="C722" s="4"/>
      <c r="D722" s="4"/>
      <c r="E722" s="4"/>
      <c r="F722" s="4"/>
    </row>
    <row r="723">
      <c r="A723" s="4"/>
      <c r="B723" s="4"/>
      <c r="C723" s="4"/>
      <c r="D723" s="4"/>
      <c r="E723" s="4"/>
      <c r="F723" s="4"/>
    </row>
    <row r="724">
      <c r="A724" s="4"/>
      <c r="B724" s="4"/>
      <c r="C724" s="4"/>
      <c r="D724" s="4"/>
      <c r="E724" s="4"/>
      <c r="F724" s="4"/>
    </row>
    <row r="725">
      <c r="A725" s="4"/>
      <c r="B725" s="4"/>
      <c r="C725" s="4"/>
      <c r="D725" s="4"/>
      <c r="E725" s="4"/>
      <c r="F725" s="4"/>
    </row>
    <row r="726">
      <c r="A726" s="4"/>
      <c r="B726" s="4"/>
      <c r="C726" s="4"/>
      <c r="D726" s="4"/>
      <c r="E726" s="4"/>
      <c r="F726" s="4"/>
    </row>
    <row r="727">
      <c r="A727" s="4"/>
      <c r="B727" s="4"/>
      <c r="C727" s="4"/>
      <c r="D727" s="4"/>
      <c r="E727" s="4"/>
      <c r="F727" s="4"/>
    </row>
    <row r="728">
      <c r="A728" s="4"/>
      <c r="B728" s="4"/>
      <c r="C728" s="4"/>
      <c r="D728" s="4"/>
      <c r="E728" s="4"/>
      <c r="F728" s="4"/>
    </row>
    <row r="729">
      <c r="A729" s="4"/>
      <c r="B729" s="4"/>
      <c r="C729" s="4"/>
      <c r="D729" s="4"/>
      <c r="E729" s="4"/>
      <c r="F729" s="4"/>
    </row>
    <row r="730">
      <c r="A730" s="4"/>
      <c r="B730" s="4"/>
      <c r="C730" s="4"/>
      <c r="D730" s="4"/>
      <c r="E730" s="4"/>
      <c r="F730" s="4"/>
    </row>
    <row r="731">
      <c r="A731" s="4"/>
      <c r="B731" s="4"/>
      <c r="C731" s="4"/>
      <c r="D731" s="4"/>
      <c r="E731" s="4"/>
      <c r="F731" s="4"/>
    </row>
    <row r="732">
      <c r="A732" s="4"/>
      <c r="B732" s="4"/>
      <c r="C732" s="4"/>
      <c r="D732" s="4"/>
      <c r="E732" s="4"/>
      <c r="F732" s="4"/>
    </row>
    <row r="733">
      <c r="A733" s="4"/>
      <c r="B733" s="4"/>
      <c r="C733" s="4"/>
      <c r="D733" s="4"/>
      <c r="E733" s="4"/>
      <c r="F733" s="4"/>
    </row>
    <row r="734">
      <c r="A734" s="4"/>
      <c r="B734" s="4"/>
      <c r="C734" s="4"/>
      <c r="D734" s="4"/>
      <c r="E734" s="4"/>
      <c r="F734" s="4"/>
    </row>
    <row r="735">
      <c r="A735" s="4"/>
      <c r="B735" s="4"/>
      <c r="C735" s="4"/>
      <c r="D735" s="4"/>
      <c r="E735" s="4"/>
      <c r="F735" s="4"/>
    </row>
    <row r="736">
      <c r="A736" s="4"/>
      <c r="B736" s="4"/>
      <c r="C736" s="4"/>
      <c r="D736" s="4"/>
      <c r="E736" s="4"/>
      <c r="F736" s="4"/>
    </row>
    <row r="737">
      <c r="A737" s="4"/>
      <c r="B737" s="4"/>
      <c r="C737" s="4"/>
      <c r="D737" s="4"/>
      <c r="E737" s="4"/>
      <c r="F737" s="4"/>
    </row>
    <row r="738">
      <c r="A738" s="4"/>
      <c r="B738" s="4"/>
      <c r="C738" s="4"/>
      <c r="D738" s="4"/>
      <c r="E738" s="4"/>
      <c r="F738" s="4"/>
    </row>
    <row r="739">
      <c r="A739" s="4"/>
      <c r="B739" s="4"/>
      <c r="C739" s="4"/>
      <c r="D739" s="4"/>
      <c r="E739" s="4"/>
      <c r="F739" s="4"/>
    </row>
    <row r="740">
      <c r="A740" s="4"/>
      <c r="B740" s="4"/>
      <c r="C740" s="4"/>
      <c r="D740" s="4"/>
      <c r="E740" s="4"/>
      <c r="F740" s="4"/>
    </row>
    <row r="741">
      <c r="A741" s="4"/>
      <c r="B741" s="4"/>
      <c r="C741" s="4"/>
      <c r="D741" s="4"/>
      <c r="E741" s="4"/>
      <c r="F741" s="4"/>
    </row>
    <row r="742">
      <c r="A742" s="4"/>
      <c r="B742" s="4"/>
      <c r="C742" s="4"/>
      <c r="D742" s="4"/>
      <c r="E742" s="4"/>
      <c r="F742" s="4"/>
    </row>
    <row r="743">
      <c r="A743" s="4"/>
      <c r="B743" s="4"/>
      <c r="C743" s="4"/>
      <c r="D743" s="4"/>
      <c r="E743" s="4"/>
      <c r="F743" s="4"/>
    </row>
    <row r="744">
      <c r="A744" s="4"/>
      <c r="B744" s="4"/>
      <c r="C744" s="4"/>
      <c r="D744" s="4"/>
      <c r="E744" s="4"/>
      <c r="F744" s="4"/>
    </row>
    <row r="745">
      <c r="A745" s="4"/>
      <c r="B745" s="4"/>
      <c r="C745" s="4"/>
      <c r="D745" s="4"/>
      <c r="E745" s="4"/>
      <c r="F745" s="4"/>
    </row>
    <row r="746">
      <c r="A746" s="4"/>
      <c r="B746" s="4"/>
      <c r="C746" s="4"/>
      <c r="D746" s="4"/>
      <c r="E746" s="4"/>
      <c r="F746" s="4"/>
    </row>
    <row r="747">
      <c r="A747" s="4"/>
      <c r="B747" s="4"/>
      <c r="C747" s="4"/>
      <c r="D747" s="4"/>
      <c r="E747" s="4"/>
      <c r="F747" s="4"/>
    </row>
    <row r="748">
      <c r="A748" s="4"/>
      <c r="B748" s="4"/>
      <c r="C748" s="4"/>
      <c r="D748" s="4"/>
      <c r="E748" s="4"/>
      <c r="F748" s="4"/>
    </row>
    <row r="749">
      <c r="A749" s="4"/>
      <c r="B749" s="4"/>
      <c r="C749" s="4"/>
      <c r="D749" s="4"/>
      <c r="E749" s="4"/>
      <c r="F749" s="4"/>
    </row>
    <row r="750">
      <c r="A750" s="4"/>
      <c r="B750" s="4"/>
      <c r="C750" s="4"/>
      <c r="D750" s="4"/>
      <c r="E750" s="4"/>
      <c r="F750" s="4"/>
    </row>
    <row r="751">
      <c r="A751" s="4"/>
      <c r="B751" s="4"/>
      <c r="C751" s="4"/>
      <c r="D751" s="4"/>
      <c r="E751" s="4"/>
      <c r="F751" s="4"/>
    </row>
    <row r="752">
      <c r="A752" s="4"/>
      <c r="B752" s="4"/>
      <c r="C752" s="4"/>
      <c r="D752" s="4"/>
      <c r="E752" s="4"/>
      <c r="F752" s="4"/>
    </row>
    <row r="753">
      <c r="A753" s="4"/>
      <c r="B753" s="4"/>
      <c r="C753" s="4"/>
      <c r="D753" s="4"/>
      <c r="E753" s="4"/>
      <c r="F753" s="4"/>
    </row>
    <row r="754">
      <c r="A754" s="4"/>
      <c r="B754" s="4"/>
      <c r="C754" s="4"/>
      <c r="D754" s="4"/>
      <c r="E754" s="4"/>
      <c r="F754" s="4"/>
    </row>
    <row r="755">
      <c r="A755" s="4"/>
      <c r="B755" s="4"/>
      <c r="C755" s="4"/>
      <c r="D755" s="4"/>
      <c r="E755" s="4"/>
      <c r="F755" s="4"/>
    </row>
    <row r="756">
      <c r="A756" s="4"/>
      <c r="B756" s="4"/>
      <c r="C756" s="4"/>
      <c r="D756" s="4"/>
      <c r="E756" s="4"/>
      <c r="F756" s="4"/>
    </row>
    <row r="757">
      <c r="A757" s="4"/>
      <c r="B757" s="4"/>
      <c r="C757" s="4"/>
      <c r="D757" s="4"/>
      <c r="E757" s="4"/>
      <c r="F757" s="4"/>
    </row>
    <row r="758">
      <c r="A758" s="4"/>
      <c r="B758" s="4"/>
      <c r="C758" s="4"/>
      <c r="D758" s="4"/>
      <c r="E758" s="4"/>
      <c r="F758" s="4"/>
    </row>
    <row r="759">
      <c r="A759" s="4"/>
      <c r="B759" s="4"/>
      <c r="C759" s="4"/>
      <c r="D759" s="4"/>
      <c r="E759" s="4"/>
      <c r="F759" s="4"/>
    </row>
    <row r="760">
      <c r="A760" s="4"/>
      <c r="B760" s="4"/>
      <c r="C760" s="4"/>
      <c r="D760" s="4"/>
      <c r="E760" s="4"/>
      <c r="F760" s="4"/>
    </row>
    <row r="761">
      <c r="A761" s="4"/>
      <c r="B761" s="4"/>
      <c r="C761" s="4"/>
      <c r="D761" s="4"/>
      <c r="E761" s="4"/>
      <c r="F761" s="4"/>
    </row>
    <row r="762">
      <c r="A762" s="4"/>
      <c r="B762" s="4"/>
      <c r="C762" s="4"/>
      <c r="D762" s="4"/>
      <c r="E762" s="4"/>
      <c r="F762" s="4"/>
    </row>
    <row r="763">
      <c r="A763" s="4"/>
      <c r="B763" s="4"/>
      <c r="C763" s="4"/>
      <c r="D763" s="4"/>
      <c r="E763" s="4"/>
      <c r="F763" s="4"/>
    </row>
    <row r="764">
      <c r="A764" s="4"/>
      <c r="B764" s="4"/>
      <c r="C764" s="4"/>
      <c r="D764" s="4"/>
      <c r="E764" s="4"/>
      <c r="F764" s="4"/>
    </row>
    <row r="765">
      <c r="A765" s="4"/>
      <c r="B765" s="4"/>
      <c r="C765" s="4"/>
      <c r="D765" s="4"/>
      <c r="E765" s="4"/>
      <c r="F765" s="4"/>
    </row>
    <row r="766">
      <c r="A766" s="4"/>
      <c r="B766" s="4"/>
      <c r="C766" s="4"/>
      <c r="D766" s="4"/>
      <c r="E766" s="4"/>
      <c r="F766" s="4"/>
    </row>
    <row r="767">
      <c r="A767" s="4"/>
      <c r="B767" s="4"/>
      <c r="C767" s="4"/>
      <c r="D767" s="4"/>
      <c r="E767" s="4"/>
      <c r="F767" s="4"/>
    </row>
    <row r="768">
      <c r="A768" s="4"/>
      <c r="B768" s="4"/>
      <c r="C768" s="4"/>
      <c r="D768" s="4"/>
      <c r="E768" s="4"/>
      <c r="F768" s="4"/>
    </row>
    <row r="769">
      <c r="A769" s="4"/>
      <c r="B769" s="4"/>
      <c r="C769" s="4"/>
      <c r="D769" s="4"/>
      <c r="E769" s="4"/>
      <c r="F769" s="4"/>
    </row>
    <row r="770">
      <c r="A770" s="4"/>
      <c r="B770" s="4"/>
      <c r="C770" s="4"/>
      <c r="D770" s="4"/>
      <c r="E770" s="4"/>
      <c r="F770" s="4"/>
    </row>
    <row r="771">
      <c r="A771" s="4"/>
      <c r="B771" s="4"/>
      <c r="C771" s="4"/>
      <c r="D771" s="4"/>
      <c r="E771" s="4"/>
      <c r="F771" s="4"/>
    </row>
    <row r="772">
      <c r="A772" s="4"/>
      <c r="B772" s="4"/>
      <c r="C772" s="4"/>
      <c r="D772" s="4"/>
      <c r="E772" s="4"/>
      <c r="F772" s="4"/>
    </row>
    <row r="773">
      <c r="A773" s="4"/>
      <c r="B773" s="4"/>
      <c r="C773" s="4"/>
      <c r="D773" s="4"/>
      <c r="E773" s="4"/>
      <c r="F773" s="4"/>
    </row>
    <row r="774">
      <c r="A774" s="4"/>
      <c r="B774" s="4"/>
      <c r="C774" s="4"/>
      <c r="D774" s="4"/>
      <c r="E774" s="4"/>
      <c r="F774" s="4"/>
    </row>
    <row r="775">
      <c r="A775" s="4"/>
      <c r="B775" s="4"/>
      <c r="C775" s="4"/>
      <c r="D775" s="4"/>
      <c r="E775" s="4"/>
      <c r="F775" s="4"/>
    </row>
    <row r="776">
      <c r="A776" s="4"/>
      <c r="B776" s="4"/>
      <c r="C776" s="4"/>
      <c r="D776" s="4"/>
      <c r="E776" s="4"/>
      <c r="F776" s="4"/>
    </row>
    <row r="777">
      <c r="A777" s="4"/>
      <c r="B777" s="4"/>
      <c r="C777" s="4"/>
      <c r="D777" s="4"/>
      <c r="E777" s="4"/>
      <c r="F777" s="4"/>
    </row>
    <row r="778">
      <c r="A778" s="4"/>
      <c r="B778" s="4"/>
      <c r="C778" s="4"/>
      <c r="D778" s="4"/>
      <c r="E778" s="4"/>
      <c r="F778" s="4"/>
    </row>
    <row r="779">
      <c r="A779" s="4"/>
      <c r="B779" s="4"/>
      <c r="C779" s="4"/>
      <c r="D779" s="4"/>
      <c r="E779" s="4"/>
      <c r="F779" s="4"/>
    </row>
    <row r="780">
      <c r="A780" s="4"/>
      <c r="B780" s="4"/>
      <c r="C780" s="4"/>
      <c r="D780" s="4"/>
      <c r="E780" s="4"/>
      <c r="F780" s="4"/>
    </row>
    <row r="781">
      <c r="A781" s="4"/>
      <c r="B781" s="4"/>
      <c r="C781" s="4"/>
      <c r="D781" s="4"/>
      <c r="E781" s="4"/>
      <c r="F781" s="4"/>
    </row>
    <row r="782">
      <c r="A782" s="4"/>
      <c r="B782" s="4"/>
      <c r="C782" s="4"/>
      <c r="D782" s="4"/>
      <c r="E782" s="4"/>
      <c r="F782" s="4"/>
    </row>
    <row r="783">
      <c r="A783" s="4"/>
      <c r="B783" s="4"/>
      <c r="C783" s="4"/>
      <c r="D783" s="4"/>
      <c r="E783" s="4"/>
      <c r="F783" s="4"/>
    </row>
    <row r="784">
      <c r="A784" s="4"/>
      <c r="B784" s="4"/>
      <c r="C784" s="4"/>
      <c r="D784" s="4"/>
      <c r="E784" s="4"/>
      <c r="F784" s="4"/>
    </row>
    <row r="785">
      <c r="A785" s="4"/>
      <c r="B785" s="4"/>
      <c r="C785" s="4"/>
      <c r="D785" s="4"/>
      <c r="E785" s="4"/>
      <c r="F785" s="4"/>
    </row>
    <row r="786">
      <c r="A786" s="4"/>
      <c r="B786" s="4"/>
      <c r="C786" s="4"/>
      <c r="D786" s="4"/>
      <c r="E786" s="4"/>
      <c r="F786" s="4"/>
    </row>
    <row r="787">
      <c r="A787" s="4"/>
      <c r="B787" s="4"/>
      <c r="C787" s="4"/>
      <c r="D787" s="4"/>
      <c r="E787" s="4"/>
      <c r="F787" s="4"/>
    </row>
    <row r="788">
      <c r="A788" s="4"/>
      <c r="B788" s="4"/>
      <c r="C788" s="4"/>
      <c r="D788" s="4"/>
      <c r="E788" s="4"/>
      <c r="F788" s="4"/>
    </row>
    <row r="789">
      <c r="A789" s="4"/>
      <c r="B789" s="4"/>
      <c r="C789" s="4"/>
      <c r="D789" s="4"/>
      <c r="E789" s="4"/>
      <c r="F789" s="4"/>
    </row>
    <row r="790">
      <c r="A790" s="4"/>
      <c r="B790" s="4"/>
      <c r="C790" s="4"/>
      <c r="D790" s="4"/>
      <c r="E790" s="4"/>
      <c r="F790" s="4"/>
    </row>
    <row r="791">
      <c r="A791" s="4"/>
      <c r="B791" s="4"/>
      <c r="C791" s="4"/>
      <c r="D791" s="4"/>
      <c r="E791" s="4"/>
      <c r="F791" s="4"/>
    </row>
    <row r="792">
      <c r="A792" s="4"/>
      <c r="B792" s="4"/>
      <c r="C792" s="4"/>
      <c r="D792" s="4"/>
      <c r="E792" s="4"/>
      <c r="F792" s="4"/>
    </row>
    <row r="793">
      <c r="A793" s="4"/>
      <c r="B793" s="4"/>
      <c r="C793" s="4"/>
      <c r="D793" s="4"/>
      <c r="E793" s="4"/>
      <c r="F793" s="4"/>
    </row>
    <row r="794">
      <c r="A794" s="4"/>
      <c r="B794" s="4"/>
      <c r="C794" s="4"/>
      <c r="D794" s="4"/>
      <c r="E794" s="4"/>
      <c r="F794" s="4"/>
    </row>
    <row r="795">
      <c r="A795" s="4"/>
      <c r="B795" s="4"/>
      <c r="C795" s="4"/>
      <c r="D795" s="4"/>
      <c r="E795" s="4"/>
      <c r="F795" s="4"/>
    </row>
    <row r="796">
      <c r="A796" s="4"/>
      <c r="B796" s="4"/>
      <c r="C796" s="4"/>
      <c r="D796" s="4"/>
      <c r="E796" s="4"/>
      <c r="F796" s="4"/>
    </row>
    <row r="797">
      <c r="A797" s="4"/>
      <c r="B797" s="4"/>
      <c r="C797" s="4"/>
      <c r="D797" s="4"/>
      <c r="E797" s="4"/>
      <c r="F797" s="4"/>
    </row>
    <row r="798">
      <c r="A798" s="4"/>
      <c r="B798" s="4"/>
      <c r="C798" s="4"/>
      <c r="D798" s="4"/>
      <c r="E798" s="4"/>
      <c r="F798" s="4"/>
    </row>
    <row r="799">
      <c r="A799" s="4"/>
      <c r="B799" s="4"/>
      <c r="C799" s="4"/>
      <c r="D799" s="4"/>
      <c r="E799" s="4"/>
      <c r="F799" s="4"/>
    </row>
    <row r="800">
      <c r="A800" s="4"/>
      <c r="B800" s="4"/>
      <c r="C800" s="4"/>
      <c r="D800" s="4"/>
      <c r="E800" s="4"/>
      <c r="F800" s="4"/>
    </row>
    <row r="801">
      <c r="A801" s="4"/>
      <c r="B801" s="4"/>
      <c r="C801" s="4"/>
      <c r="D801" s="4"/>
      <c r="E801" s="4"/>
      <c r="F801" s="4"/>
    </row>
    <row r="802">
      <c r="A802" s="4"/>
      <c r="B802" s="4"/>
      <c r="C802" s="4"/>
      <c r="D802" s="4"/>
      <c r="E802" s="4"/>
      <c r="F802" s="4"/>
    </row>
    <row r="803">
      <c r="A803" s="4"/>
      <c r="B803" s="4"/>
      <c r="C803" s="4"/>
      <c r="D803" s="4"/>
      <c r="E803" s="4"/>
      <c r="F803" s="4"/>
    </row>
    <row r="804">
      <c r="A804" s="4"/>
      <c r="B804" s="4"/>
      <c r="C804" s="4"/>
      <c r="D804" s="4"/>
      <c r="E804" s="4"/>
      <c r="F804" s="4"/>
    </row>
    <row r="805">
      <c r="A805" s="4"/>
      <c r="B805" s="4"/>
      <c r="C805" s="4"/>
      <c r="D805" s="4"/>
      <c r="E805" s="4"/>
      <c r="F805" s="4"/>
    </row>
    <row r="806">
      <c r="A806" s="4"/>
      <c r="B806" s="4"/>
      <c r="C806" s="4"/>
      <c r="D806" s="4"/>
      <c r="E806" s="4"/>
      <c r="F806" s="4"/>
    </row>
    <row r="807">
      <c r="A807" s="4"/>
      <c r="B807" s="4"/>
      <c r="C807" s="4"/>
      <c r="D807" s="4"/>
      <c r="E807" s="4"/>
      <c r="F807" s="4"/>
    </row>
    <row r="808">
      <c r="A808" s="4"/>
      <c r="B808" s="4"/>
      <c r="C808" s="4"/>
      <c r="D808" s="4"/>
      <c r="E808" s="4"/>
      <c r="F808" s="4"/>
    </row>
    <row r="809">
      <c r="A809" s="4"/>
      <c r="B809" s="4"/>
      <c r="C809" s="4"/>
      <c r="D809" s="4"/>
      <c r="E809" s="4"/>
      <c r="F809" s="4"/>
    </row>
    <row r="810">
      <c r="A810" s="4"/>
      <c r="B810" s="4"/>
      <c r="C810" s="4"/>
      <c r="D810" s="4"/>
      <c r="E810" s="4"/>
      <c r="F810" s="4"/>
    </row>
    <row r="811">
      <c r="A811" s="4"/>
      <c r="B811" s="4"/>
      <c r="C811" s="4"/>
      <c r="D811" s="4"/>
      <c r="E811" s="4"/>
      <c r="F811" s="4"/>
    </row>
    <row r="812">
      <c r="A812" s="4"/>
      <c r="B812" s="4"/>
      <c r="C812" s="4"/>
      <c r="D812" s="4"/>
      <c r="E812" s="4"/>
      <c r="F812" s="4"/>
    </row>
    <row r="813">
      <c r="A813" s="4"/>
      <c r="B813" s="4"/>
      <c r="C813" s="4"/>
      <c r="D813" s="4"/>
      <c r="E813" s="4"/>
      <c r="F813" s="4"/>
    </row>
    <row r="814">
      <c r="A814" s="4"/>
      <c r="B814" s="4"/>
      <c r="C814" s="4"/>
      <c r="D814" s="4"/>
      <c r="E814" s="4"/>
      <c r="F814" s="4"/>
    </row>
    <row r="815">
      <c r="A815" s="4"/>
      <c r="B815" s="4"/>
      <c r="C815" s="4"/>
      <c r="D815" s="4"/>
      <c r="E815" s="4"/>
      <c r="F815" s="4"/>
    </row>
    <row r="816">
      <c r="A816" s="4"/>
      <c r="B816" s="4"/>
      <c r="C816" s="4"/>
      <c r="D816" s="4"/>
      <c r="E816" s="4"/>
      <c r="F816" s="4"/>
    </row>
    <row r="817">
      <c r="A817" s="4"/>
      <c r="B817" s="4"/>
      <c r="C817" s="4"/>
      <c r="D817" s="4"/>
      <c r="E817" s="4"/>
      <c r="F817" s="4"/>
    </row>
    <row r="818">
      <c r="A818" s="4"/>
      <c r="B818" s="4"/>
      <c r="C818" s="4"/>
      <c r="D818" s="4"/>
      <c r="E818" s="4"/>
      <c r="F818" s="4"/>
    </row>
    <row r="819">
      <c r="A819" s="4"/>
      <c r="B819" s="4"/>
      <c r="C819" s="4"/>
      <c r="D819" s="4"/>
      <c r="E819" s="4"/>
      <c r="F819" s="4"/>
    </row>
    <row r="820">
      <c r="A820" s="4"/>
      <c r="B820" s="4"/>
      <c r="C820" s="4"/>
      <c r="D820" s="4"/>
      <c r="E820" s="4"/>
      <c r="F820" s="4"/>
    </row>
    <row r="821">
      <c r="A821" s="4"/>
      <c r="B821" s="4"/>
      <c r="C821" s="4"/>
      <c r="D821" s="4"/>
      <c r="E821" s="4"/>
      <c r="F821" s="4"/>
    </row>
    <row r="822">
      <c r="A822" s="4"/>
      <c r="B822" s="4"/>
      <c r="C822" s="4"/>
      <c r="D822" s="4"/>
      <c r="E822" s="4"/>
      <c r="F822" s="4"/>
    </row>
    <row r="823">
      <c r="A823" s="4"/>
      <c r="B823" s="4"/>
      <c r="C823" s="4"/>
      <c r="D823" s="4"/>
      <c r="E823" s="4"/>
      <c r="F823" s="4"/>
    </row>
    <row r="824">
      <c r="A824" s="4"/>
      <c r="B824" s="4"/>
      <c r="C824" s="4"/>
      <c r="D824" s="4"/>
      <c r="E824" s="4"/>
      <c r="F824" s="4"/>
    </row>
    <row r="825">
      <c r="A825" s="4"/>
      <c r="B825" s="4"/>
      <c r="C825" s="4"/>
      <c r="D825" s="4"/>
      <c r="E825" s="4"/>
      <c r="F825" s="4"/>
    </row>
    <row r="826">
      <c r="A826" s="4"/>
      <c r="B826" s="4"/>
      <c r="C826" s="4"/>
      <c r="D826" s="4"/>
      <c r="E826" s="4"/>
      <c r="F826" s="4"/>
    </row>
    <row r="827">
      <c r="A827" s="4"/>
      <c r="B827" s="4"/>
      <c r="C827" s="4"/>
      <c r="D827" s="4"/>
      <c r="E827" s="4"/>
      <c r="F827" s="4"/>
    </row>
    <row r="828">
      <c r="A828" s="4"/>
      <c r="B828" s="4"/>
      <c r="C828" s="4"/>
      <c r="D828" s="4"/>
      <c r="E828" s="4"/>
      <c r="F828" s="4"/>
    </row>
    <row r="829">
      <c r="A829" s="4"/>
      <c r="B829" s="4"/>
      <c r="C829" s="4"/>
      <c r="D829" s="4"/>
      <c r="E829" s="4"/>
      <c r="F829" s="4"/>
    </row>
    <row r="830">
      <c r="A830" s="4"/>
      <c r="B830" s="4"/>
      <c r="C830" s="4"/>
      <c r="D830" s="4"/>
      <c r="E830" s="4"/>
      <c r="F830" s="4"/>
    </row>
    <row r="831">
      <c r="A831" s="4"/>
      <c r="B831" s="4"/>
      <c r="C831" s="4"/>
      <c r="D831" s="4"/>
      <c r="E831" s="4"/>
      <c r="F831" s="4"/>
    </row>
    <row r="832">
      <c r="A832" s="4"/>
      <c r="B832" s="4"/>
      <c r="C832" s="4"/>
      <c r="D832" s="4"/>
      <c r="E832" s="4"/>
      <c r="F832" s="4"/>
    </row>
    <row r="833">
      <c r="A833" s="4"/>
      <c r="B833" s="4"/>
      <c r="C833" s="4"/>
      <c r="D833" s="4"/>
      <c r="E833" s="4"/>
      <c r="F833" s="4"/>
    </row>
    <row r="834">
      <c r="A834" s="4"/>
      <c r="B834" s="4"/>
      <c r="C834" s="4"/>
      <c r="D834" s="4"/>
      <c r="E834" s="4"/>
      <c r="F834" s="4"/>
    </row>
    <row r="835">
      <c r="A835" s="4"/>
      <c r="B835" s="4"/>
      <c r="C835" s="4"/>
      <c r="D835" s="4"/>
      <c r="E835" s="4"/>
      <c r="F835" s="4"/>
    </row>
    <row r="836">
      <c r="A836" s="4"/>
      <c r="B836" s="4"/>
      <c r="C836" s="4"/>
      <c r="D836" s="4"/>
      <c r="E836" s="4"/>
      <c r="F836" s="4"/>
    </row>
    <row r="837">
      <c r="A837" s="4"/>
      <c r="B837" s="4"/>
      <c r="C837" s="4"/>
      <c r="D837" s="4"/>
      <c r="E837" s="4"/>
      <c r="F837" s="4"/>
    </row>
    <row r="838">
      <c r="A838" s="4"/>
      <c r="B838" s="4"/>
      <c r="C838" s="4"/>
      <c r="D838" s="4"/>
      <c r="E838" s="4"/>
      <c r="F838" s="4"/>
    </row>
    <row r="839">
      <c r="A839" s="4"/>
      <c r="B839" s="4"/>
      <c r="C839" s="4"/>
      <c r="D839" s="4"/>
      <c r="E839" s="4"/>
      <c r="F839" s="4"/>
    </row>
    <row r="840">
      <c r="A840" s="4"/>
      <c r="B840" s="4"/>
      <c r="C840" s="4"/>
      <c r="D840" s="4"/>
      <c r="E840" s="4"/>
      <c r="F840" s="4"/>
    </row>
    <row r="841">
      <c r="A841" s="4"/>
      <c r="B841" s="4"/>
      <c r="C841" s="4"/>
      <c r="D841" s="4"/>
      <c r="E841" s="4"/>
      <c r="F841" s="4"/>
    </row>
    <row r="842">
      <c r="A842" s="4"/>
      <c r="B842" s="4"/>
      <c r="C842" s="4"/>
      <c r="D842" s="4"/>
      <c r="E842" s="4"/>
      <c r="F842" s="4"/>
    </row>
    <row r="843">
      <c r="A843" s="4"/>
      <c r="B843" s="4"/>
      <c r="C843" s="4"/>
      <c r="D843" s="4"/>
      <c r="E843" s="4"/>
      <c r="F843" s="4"/>
    </row>
    <row r="844">
      <c r="A844" s="4"/>
      <c r="B844" s="4"/>
      <c r="C844" s="4"/>
      <c r="D844" s="4"/>
      <c r="E844" s="4"/>
      <c r="F844" s="4"/>
    </row>
    <row r="845">
      <c r="A845" s="4"/>
      <c r="B845" s="4"/>
      <c r="C845" s="4"/>
      <c r="D845" s="4"/>
      <c r="E845" s="4"/>
      <c r="F845" s="4"/>
    </row>
    <row r="846">
      <c r="A846" s="4"/>
      <c r="B846" s="4"/>
      <c r="C846" s="4"/>
      <c r="D846" s="4"/>
      <c r="E846" s="4"/>
      <c r="F846" s="4"/>
    </row>
    <row r="847">
      <c r="A847" s="4"/>
      <c r="B847" s="4"/>
      <c r="C847" s="4"/>
      <c r="D847" s="4"/>
      <c r="E847" s="4"/>
      <c r="F847" s="4"/>
    </row>
    <row r="848">
      <c r="A848" s="4"/>
      <c r="B848" s="4"/>
      <c r="C848" s="4"/>
      <c r="D848" s="4"/>
      <c r="E848" s="4"/>
      <c r="F848" s="4"/>
    </row>
    <row r="849">
      <c r="A849" s="4"/>
      <c r="B849" s="4"/>
      <c r="C849" s="4"/>
      <c r="D849" s="4"/>
      <c r="E849" s="4"/>
      <c r="F849" s="4"/>
    </row>
    <row r="850">
      <c r="A850" s="4"/>
      <c r="B850" s="4"/>
      <c r="C850" s="4"/>
      <c r="D850" s="4"/>
      <c r="E850" s="4"/>
      <c r="F850" s="4"/>
    </row>
    <row r="851">
      <c r="A851" s="4"/>
      <c r="B851" s="4"/>
      <c r="C851" s="4"/>
      <c r="D851" s="4"/>
      <c r="E851" s="4"/>
      <c r="F851" s="4"/>
    </row>
    <row r="852">
      <c r="A852" s="4"/>
      <c r="B852" s="4"/>
      <c r="C852" s="4"/>
      <c r="D852" s="4"/>
      <c r="E852" s="4"/>
      <c r="F852" s="4"/>
    </row>
    <row r="853">
      <c r="A853" s="4"/>
      <c r="B853" s="4"/>
      <c r="C853" s="4"/>
      <c r="D853" s="4"/>
      <c r="E853" s="4"/>
      <c r="F853" s="4"/>
    </row>
    <row r="854">
      <c r="A854" s="4"/>
      <c r="B854" s="4"/>
      <c r="C854" s="4"/>
      <c r="D854" s="4"/>
      <c r="E854" s="4"/>
      <c r="F854" s="4"/>
    </row>
    <row r="855">
      <c r="A855" s="4"/>
      <c r="B855" s="4"/>
      <c r="C855" s="4"/>
      <c r="D855" s="4"/>
      <c r="E855" s="4"/>
      <c r="F855" s="4"/>
    </row>
    <row r="856">
      <c r="A856" s="4"/>
      <c r="B856" s="4"/>
      <c r="C856" s="4"/>
      <c r="D856" s="4"/>
      <c r="E856" s="4"/>
      <c r="F856" s="4"/>
    </row>
    <row r="857">
      <c r="A857" s="4"/>
      <c r="B857" s="4"/>
      <c r="C857" s="4"/>
      <c r="D857" s="4"/>
      <c r="E857" s="4"/>
      <c r="F857" s="4"/>
    </row>
    <row r="858">
      <c r="A858" s="4"/>
      <c r="B858" s="4"/>
      <c r="C858" s="4"/>
      <c r="D858" s="4"/>
      <c r="E858" s="4"/>
      <c r="F858" s="4"/>
    </row>
    <row r="859">
      <c r="A859" s="4"/>
      <c r="B859" s="4"/>
      <c r="C859" s="4"/>
      <c r="D859" s="4"/>
      <c r="E859" s="4"/>
      <c r="F859" s="4"/>
    </row>
    <row r="860">
      <c r="A860" s="4"/>
      <c r="B860" s="4"/>
      <c r="C860" s="4"/>
      <c r="D860" s="4"/>
      <c r="E860" s="4"/>
      <c r="F860" s="4"/>
    </row>
    <row r="861">
      <c r="A861" s="4"/>
      <c r="B861" s="4"/>
      <c r="C861" s="4"/>
      <c r="D861" s="4"/>
      <c r="E861" s="4"/>
      <c r="F861" s="4"/>
    </row>
    <row r="862">
      <c r="A862" s="4"/>
      <c r="B862" s="4"/>
      <c r="C862" s="4"/>
      <c r="D862" s="4"/>
      <c r="E862" s="4"/>
      <c r="F862" s="4"/>
    </row>
    <row r="863">
      <c r="A863" s="4"/>
      <c r="B863" s="4"/>
      <c r="C863" s="4"/>
      <c r="D863" s="4"/>
      <c r="E863" s="4"/>
      <c r="F863" s="4"/>
    </row>
    <row r="864">
      <c r="A864" s="4"/>
      <c r="B864" s="4"/>
      <c r="C864" s="4"/>
      <c r="D864" s="4"/>
      <c r="E864" s="4"/>
      <c r="F864" s="4"/>
    </row>
    <row r="865">
      <c r="A865" s="4"/>
      <c r="B865" s="4"/>
      <c r="C865" s="4"/>
      <c r="D865" s="4"/>
      <c r="E865" s="4"/>
      <c r="F865" s="4"/>
    </row>
    <row r="866">
      <c r="A866" s="4"/>
      <c r="B866" s="4"/>
      <c r="C866" s="4"/>
      <c r="D866" s="4"/>
      <c r="E866" s="4"/>
      <c r="F866" s="4"/>
    </row>
    <row r="867">
      <c r="A867" s="4"/>
      <c r="B867" s="4"/>
      <c r="C867" s="4"/>
      <c r="D867" s="4"/>
      <c r="E867" s="4"/>
      <c r="F867" s="4"/>
    </row>
    <row r="868">
      <c r="A868" s="4"/>
      <c r="B868" s="4"/>
      <c r="C868" s="4"/>
      <c r="D868" s="4"/>
      <c r="E868" s="4"/>
      <c r="F868" s="4"/>
    </row>
    <row r="869">
      <c r="A869" s="4"/>
      <c r="B869" s="4"/>
      <c r="C869" s="4"/>
      <c r="D869" s="4"/>
      <c r="E869" s="4"/>
      <c r="F869" s="4"/>
    </row>
    <row r="870">
      <c r="A870" s="4"/>
      <c r="B870" s="4"/>
      <c r="C870" s="4"/>
      <c r="D870" s="4"/>
      <c r="E870" s="4"/>
      <c r="F870" s="4"/>
    </row>
    <row r="871">
      <c r="A871" s="4"/>
      <c r="B871" s="4"/>
      <c r="C871" s="4"/>
      <c r="D871" s="4"/>
      <c r="E871" s="4"/>
      <c r="F871" s="4"/>
    </row>
    <row r="872">
      <c r="A872" s="4"/>
      <c r="B872" s="4"/>
      <c r="C872" s="4"/>
      <c r="D872" s="4"/>
      <c r="E872" s="4"/>
      <c r="F872" s="4"/>
    </row>
    <row r="873">
      <c r="A873" s="4"/>
      <c r="B873" s="4"/>
      <c r="C873" s="4"/>
      <c r="D873" s="4"/>
      <c r="E873" s="4"/>
      <c r="F873" s="4"/>
    </row>
    <row r="874">
      <c r="A874" s="4"/>
      <c r="B874" s="4"/>
      <c r="C874" s="4"/>
      <c r="D874" s="4"/>
      <c r="E874" s="4"/>
      <c r="F874" s="4"/>
    </row>
    <row r="875">
      <c r="A875" s="4"/>
      <c r="B875" s="4"/>
      <c r="C875" s="4"/>
      <c r="D875" s="4"/>
      <c r="E875" s="4"/>
      <c r="F875" s="4"/>
    </row>
    <row r="876">
      <c r="A876" s="4"/>
      <c r="B876" s="4"/>
      <c r="C876" s="4"/>
      <c r="D876" s="4"/>
      <c r="E876" s="4"/>
      <c r="F876" s="4"/>
    </row>
    <row r="877">
      <c r="A877" s="4"/>
      <c r="B877" s="4"/>
      <c r="C877" s="4"/>
      <c r="D877" s="4"/>
      <c r="E877" s="4"/>
      <c r="F877" s="4"/>
    </row>
    <row r="878">
      <c r="A878" s="4"/>
      <c r="B878" s="4"/>
      <c r="C878" s="4"/>
      <c r="D878" s="4"/>
      <c r="E878" s="4"/>
      <c r="F878" s="4"/>
    </row>
    <row r="879">
      <c r="A879" s="4"/>
      <c r="B879" s="4"/>
      <c r="C879" s="4"/>
      <c r="D879" s="4"/>
      <c r="E879" s="4"/>
      <c r="F879" s="4"/>
    </row>
    <row r="880">
      <c r="A880" s="4"/>
      <c r="B880" s="4"/>
      <c r="C880" s="4"/>
      <c r="D880" s="4"/>
      <c r="E880" s="4"/>
      <c r="F880" s="4"/>
    </row>
    <row r="881">
      <c r="A881" s="4"/>
      <c r="B881" s="4"/>
      <c r="C881" s="4"/>
      <c r="D881" s="4"/>
      <c r="E881" s="4"/>
      <c r="F881" s="4"/>
    </row>
    <row r="882">
      <c r="A882" s="4"/>
      <c r="B882" s="4"/>
      <c r="C882" s="4"/>
      <c r="D882" s="4"/>
      <c r="E882" s="4"/>
      <c r="F882" s="4"/>
    </row>
    <row r="883">
      <c r="A883" s="4"/>
      <c r="B883" s="4"/>
      <c r="C883" s="4"/>
      <c r="D883" s="4"/>
      <c r="E883" s="4"/>
      <c r="F883" s="4"/>
    </row>
    <row r="884">
      <c r="A884" s="4"/>
      <c r="B884" s="4"/>
      <c r="C884" s="4"/>
      <c r="D884" s="4"/>
      <c r="E884" s="4"/>
      <c r="F884" s="4"/>
    </row>
    <row r="885">
      <c r="A885" s="4"/>
      <c r="B885" s="4"/>
      <c r="C885" s="4"/>
      <c r="D885" s="4"/>
      <c r="E885" s="4"/>
      <c r="F885" s="4"/>
    </row>
    <row r="886">
      <c r="A886" s="4"/>
      <c r="B886" s="4"/>
      <c r="C886" s="4"/>
      <c r="D886" s="4"/>
      <c r="E886" s="4"/>
      <c r="F886" s="4"/>
    </row>
    <row r="887">
      <c r="A887" s="4"/>
      <c r="B887" s="4"/>
      <c r="C887" s="4"/>
      <c r="D887" s="4"/>
      <c r="E887" s="4"/>
      <c r="F887" s="4"/>
    </row>
    <row r="888">
      <c r="A888" s="4"/>
      <c r="B888" s="4"/>
      <c r="C888" s="4"/>
      <c r="D888" s="4"/>
      <c r="E888" s="4"/>
      <c r="F888" s="4"/>
    </row>
    <row r="889">
      <c r="A889" s="4"/>
      <c r="B889" s="4"/>
      <c r="C889" s="4"/>
      <c r="D889" s="4"/>
      <c r="E889" s="4"/>
      <c r="F889" s="4"/>
    </row>
    <row r="890">
      <c r="A890" s="4"/>
      <c r="B890" s="4"/>
      <c r="C890" s="4"/>
      <c r="D890" s="4"/>
      <c r="E890" s="4"/>
      <c r="F890" s="4"/>
    </row>
    <row r="891">
      <c r="A891" s="4"/>
      <c r="B891" s="4"/>
      <c r="C891" s="4"/>
      <c r="D891" s="4"/>
      <c r="E891" s="4"/>
      <c r="F891" s="4"/>
    </row>
    <row r="892">
      <c r="A892" s="4"/>
      <c r="B892" s="4"/>
      <c r="C892" s="4"/>
      <c r="D892" s="4"/>
      <c r="E892" s="4"/>
      <c r="F892" s="4"/>
    </row>
    <row r="893">
      <c r="A893" s="4"/>
      <c r="B893" s="4"/>
      <c r="C893" s="4"/>
      <c r="D893" s="4"/>
      <c r="E893" s="4"/>
      <c r="F893" s="4"/>
    </row>
    <row r="894">
      <c r="A894" s="4"/>
      <c r="B894" s="4"/>
      <c r="C894" s="4"/>
      <c r="D894" s="4"/>
      <c r="E894" s="4"/>
      <c r="F894" s="4"/>
    </row>
    <row r="895">
      <c r="A895" s="4"/>
      <c r="B895" s="4"/>
      <c r="C895" s="4"/>
      <c r="D895" s="4"/>
      <c r="E895" s="4"/>
      <c r="F895" s="4"/>
    </row>
    <row r="896">
      <c r="A896" s="4"/>
      <c r="B896" s="4"/>
      <c r="C896" s="4"/>
      <c r="D896" s="4"/>
      <c r="E896" s="4"/>
      <c r="F896" s="4"/>
    </row>
    <row r="897">
      <c r="A897" s="4"/>
      <c r="B897" s="4"/>
      <c r="C897" s="4"/>
      <c r="D897" s="4"/>
      <c r="E897" s="4"/>
      <c r="F897" s="4"/>
    </row>
    <row r="898">
      <c r="A898" s="4"/>
      <c r="B898" s="4"/>
      <c r="C898" s="4"/>
      <c r="D898" s="4"/>
      <c r="E898" s="4"/>
      <c r="F898" s="4"/>
    </row>
    <row r="899">
      <c r="A899" s="4"/>
      <c r="B899" s="4"/>
      <c r="C899" s="4"/>
      <c r="D899" s="4"/>
      <c r="E899" s="4"/>
      <c r="F899" s="4"/>
    </row>
    <row r="900">
      <c r="A900" s="4"/>
      <c r="B900" s="4"/>
      <c r="C900" s="4"/>
      <c r="D900" s="4"/>
      <c r="E900" s="4"/>
      <c r="F900" s="4"/>
    </row>
    <row r="901">
      <c r="A901" s="4"/>
      <c r="B901" s="4"/>
      <c r="C901" s="4"/>
      <c r="D901" s="4"/>
      <c r="E901" s="4"/>
      <c r="F901" s="4"/>
    </row>
    <row r="902">
      <c r="A902" s="4"/>
      <c r="B902" s="4"/>
      <c r="C902" s="4"/>
      <c r="D902" s="4"/>
      <c r="E902" s="4"/>
      <c r="F902" s="4"/>
    </row>
    <row r="903">
      <c r="A903" s="4"/>
      <c r="B903" s="4"/>
      <c r="C903" s="4"/>
      <c r="D903" s="4"/>
      <c r="E903" s="4"/>
      <c r="F903" s="4"/>
    </row>
    <row r="904">
      <c r="A904" s="4"/>
      <c r="B904" s="4"/>
      <c r="C904" s="4"/>
      <c r="D904" s="4"/>
      <c r="E904" s="4"/>
      <c r="F904" s="4"/>
    </row>
    <row r="905">
      <c r="A905" s="4"/>
      <c r="B905" s="4"/>
      <c r="C905" s="4"/>
      <c r="D905" s="4"/>
      <c r="E905" s="4"/>
      <c r="F905" s="4"/>
    </row>
    <row r="906">
      <c r="A906" s="4"/>
      <c r="B906" s="4"/>
      <c r="C906" s="4"/>
      <c r="D906" s="4"/>
      <c r="E906" s="4"/>
      <c r="F906" s="4"/>
    </row>
    <row r="907">
      <c r="A907" s="4"/>
      <c r="B907" s="4"/>
      <c r="C907" s="4"/>
      <c r="D907" s="4"/>
      <c r="E907" s="4"/>
      <c r="F907" s="4"/>
    </row>
    <row r="908">
      <c r="A908" s="4"/>
      <c r="B908" s="4"/>
      <c r="C908" s="4"/>
      <c r="D908" s="4"/>
      <c r="E908" s="4"/>
      <c r="F908" s="4"/>
    </row>
    <row r="909">
      <c r="A909" s="4"/>
      <c r="B909" s="4"/>
      <c r="C909" s="4"/>
      <c r="D909" s="4"/>
      <c r="E909" s="4"/>
      <c r="F909" s="4"/>
    </row>
    <row r="910">
      <c r="A910" s="4"/>
      <c r="B910" s="4"/>
      <c r="C910" s="4"/>
      <c r="D910" s="4"/>
      <c r="E910" s="4"/>
      <c r="F910" s="4"/>
    </row>
    <row r="911">
      <c r="A911" s="4"/>
      <c r="B911" s="4"/>
      <c r="C911" s="4"/>
      <c r="D911" s="4"/>
      <c r="E911" s="4"/>
      <c r="F911" s="4"/>
    </row>
    <row r="912">
      <c r="A912" s="4"/>
      <c r="B912" s="4"/>
      <c r="C912" s="4"/>
      <c r="D912" s="4"/>
      <c r="E912" s="4"/>
      <c r="F912" s="4"/>
    </row>
    <row r="913">
      <c r="A913" s="4"/>
      <c r="B913" s="4"/>
      <c r="C913" s="4"/>
      <c r="D913" s="4"/>
      <c r="E913" s="4"/>
      <c r="F913" s="4"/>
    </row>
    <row r="914">
      <c r="A914" s="4"/>
      <c r="B914" s="4"/>
      <c r="C914" s="4"/>
      <c r="D914" s="4"/>
      <c r="E914" s="4"/>
      <c r="F914" s="4"/>
    </row>
    <row r="915">
      <c r="A915" s="4"/>
      <c r="B915" s="4"/>
      <c r="C915" s="4"/>
      <c r="D915" s="4"/>
      <c r="E915" s="4"/>
      <c r="F915" s="4"/>
    </row>
    <row r="916">
      <c r="A916" s="4"/>
      <c r="B916" s="4"/>
      <c r="C916" s="4"/>
      <c r="D916" s="4"/>
      <c r="E916" s="4"/>
      <c r="F916" s="4"/>
    </row>
    <row r="917">
      <c r="A917" s="4"/>
      <c r="B917" s="4"/>
      <c r="C917" s="4"/>
      <c r="D917" s="4"/>
      <c r="E917" s="4"/>
      <c r="F917" s="4"/>
    </row>
    <row r="918">
      <c r="A918" s="4"/>
      <c r="B918" s="4"/>
      <c r="C918" s="4"/>
      <c r="D918" s="4"/>
      <c r="E918" s="4"/>
      <c r="F918" s="4"/>
    </row>
    <row r="919">
      <c r="A919" s="4"/>
      <c r="B919" s="4"/>
      <c r="C919" s="4"/>
      <c r="D919" s="4"/>
      <c r="E919" s="4"/>
      <c r="F919" s="4"/>
    </row>
    <row r="920">
      <c r="A920" s="4"/>
      <c r="B920" s="4"/>
      <c r="C920" s="4"/>
      <c r="D920" s="4"/>
      <c r="E920" s="4"/>
      <c r="F920" s="4"/>
    </row>
    <row r="921">
      <c r="A921" s="4"/>
      <c r="B921" s="4"/>
      <c r="C921" s="4"/>
      <c r="D921" s="4"/>
      <c r="E921" s="4"/>
      <c r="F921" s="4"/>
    </row>
    <row r="922">
      <c r="A922" s="4"/>
      <c r="B922" s="4"/>
      <c r="C922" s="4"/>
      <c r="D922" s="4"/>
      <c r="E922" s="4"/>
      <c r="F922" s="4"/>
    </row>
    <row r="923">
      <c r="A923" s="4"/>
      <c r="B923" s="4"/>
      <c r="C923" s="4"/>
      <c r="D923" s="4"/>
      <c r="E923" s="4"/>
      <c r="F923" s="4"/>
    </row>
    <row r="924">
      <c r="A924" s="4"/>
      <c r="B924" s="4"/>
      <c r="C924" s="4"/>
      <c r="D924" s="4"/>
      <c r="E924" s="4"/>
      <c r="F924" s="4"/>
    </row>
    <row r="925">
      <c r="A925" s="4"/>
      <c r="B925" s="4"/>
      <c r="C925" s="4"/>
      <c r="D925" s="4"/>
      <c r="E925" s="4"/>
      <c r="F925" s="4"/>
    </row>
    <row r="926">
      <c r="A926" s="4"/>
      <c r="B926" s="4"/>
      <c r="C926" s="4"/>
      <c r="D926" s="4"/>
      <c r="E926" s="4"/>
      <c r="F926" s="4"/>
    </row>
    <row r="927">
      <c r="A927" s="4"/>
      <c r="B927" s="4"/>
      <c r="C927" s="4"/>
      <c r="D927" s="4"/>
      <c r="E927" s="4"/>
      <c r="F927" s="4"/>
    </row>
    <row r="928">
      <c r="A928" s="4"/>
      <c r="B928" s="4"/>
      <c r="C928" s="4"/>
      <c r="D928" s="4"/>
      <c r="E928" s="4"/>
      <c r="F928" s="4"/>
    </row>
    <row r="929">
      <c r="A929" s="4"/>
      <c r="B929" s="4"/>
      <c r="C929" s="4"/>
      <c r="D929" s="4"/>
      <c r="E929" s="4"/>
      <c r="F929" s="4"/>
    </row>
    <row r="930">
      <c r="A930" s="4"/>
      <c r="B930" s="4"/>
      <c r="C930" s="4"/>
      <c r="D930" s="4"/>
      <c r="E930" s="4"/>
      <c r="F930" s="4"/>
    </row>
    <row r="931">
      <c r="A931" s="4"/>
      <c r="B931" s="4"/>
      <c r="C931" s="4"/>
      <c r="D931" s="4"/>
      <c r="E931" s="4"/>
      <c r="F931" s="4"/>
    </row>
    <row r="932">
      <c r="A932" s="4"/>
      <c r="B932" s="4"/>
      <c r="C932" s="4"/>
      <c r="D932" s="4"/>
      <c r="E932" s="4"/>
      <c r="F932" s="4"/>
    </row>
    <row r="933">
      <c r="A933" s="4"/>
      <c r="B933" s="4"/>
      <c r="C933" s="4"/>
      <c r="D933" s="4"/>
      <c r="E933" s="4"/>
      <c r="F933" s="4"/>
    </row>
    <row r="934">
      <c r="A934" s="4"/>
      <c r="B934" s="4"/>
      <c r="C934" s="4"/>
      <c r="D934" s="4"/>
      <c r="E934" s="4"/>
      <c r="F934" s="4"/>
    </row>
    <row r="935">
      <c r="A935" s="4"/>
      <c r="B935" s="4"/>
      <c r="C935" s="4"/>
      <c r="D935" s="4"/>
      <c r="E935" s="4"/>
      <c r="F935" s="4"/>
    </row>
    <row r="936">
      <c r="A936" s="4"/>
      <c r="B936" s="4"/>
      <c r="C936" s="4"/>
      <c r="D936" s="4"/>
      <c r="E936" s="4"/>
      <c r="F936" s="4"/>
    </row>
    <row r="937">
      <c r="A937" s="4"/>
      <c r="B937" s="4"/>
      <c r="C937" s="4"/>
      <c r="D937" s="4"/>
      <c r="E937" s="4"/>
      <c r="F937" s="4"/>
    </row>
    <row r="938">
      <c r="A938" s="4"/>
      <c r="B938" s="4"/>
      <c r="C938" s="4"/>
      <c r="D938" s="4"/>
      <c r="E938" s="4"/>
      <c r="F938" s="4"/>
    </row>
    <row r="939">
      <c r="A939" s="4"/>
      <c r="B939" s="4"/>
      <c r="C939" s="4"/>
      <c r="D939" s="4"/>
      <c r="E939" s="4"/>
      <c r="F939" s="4"/>
    </row>
    <row r="940">
      <c r="A940" s="4"/>
      <c r="B940" s="4"/>
      <c r="C940" s="4"/>
      <c r="D940" s="4"/>
      <c r="E940" s="4"/>
      <c r="F940" s="4"/>
    </row>
    <row r="941">
      <c r="A941" s="4"/>
      <c r="B941" s="4"/>
      <c r="C941" s="4"/>
      <c r="D941" s="4"/>
      <c r="E941" s="4"/>
      <c r="F941" s="4"/>
    </row>
    <row r="942">
      <c r="A942" s="4"/>
      <c r="B942" s="4"/>
      <c r="C942" s="4"/>
      <c r="D942" s="4"/>
      <c r="E942" s="4"/>
      <c r="F942" s="4"/>
    </row>
    <row r="943">
      <c r="A943" s="4"/>
      <c r="B943" s="4"/>
      <c r="C943" s="4"/>
      <c r="D943" s="4"/>
      <c r="E943" s="4"/>
      <c r="F943" s="4"/>
    </row>
    <row r="944">
      <c r="A944" s="4"/>
      <c r="B944" s="4"/>
      <c r="C944" s="4"/>
      <c r="D944" s="4"/>
      <c r="E944" s="4"/>
      <c r="F944" s="4"/>
    </row>
    <row r="945">
      <c r="A945" s="4"/>
      <c r="B945" s="4"/>
      <c r="C945" s="4"/>
      <c r="D945" s="4"/>
      <c r="E945" s="4"/>
      <c r="F945" s="4"/>
    </row>
    <row r="946">
      <c r="A946" s="4"/>
      <c r="B946" s="4"/>
      <c r="C946" s="4"/>
      <c r="D946" s="4"/>
      <c r="E946" s="4"/>
      <c r="F946" s="4"/>
    </row>
    <row r="947">
      <c r="A947" s="4"/>
      <c r="B947" s="4"/>
      <c r="C947" s="4"/>
      <c r="D947" s="4"/>
      <c r="E947" s="4"/>
      <c r="F947" s="4"/>
    </row>
    <row r="948">
      <c r="A948" s="4"/>
      <c r="B948" s="4"/>
      <c r="C948" s="4"/>
      <c r="D948" s="4"/>
      <c r="E948" s="4"/>
      <c r="F948" s="4"/>
    </row>
    <row r="949">
      <c r="A949" s="4"/>
      <c r="B949" s="4"/>
      <c r="C949" s="4"/>
      <c r="D949" s="4"/>
      <c r="E949" s="4"/>
      <c r="F949" s="4"/>
    </row>
    <row r="950">
      <c r="A950" s="4"/>
      <c r="B950" s="4"/>
      <c r="C950" s="4"/>
      <c r="D950" s="4"/>
      <c r="E950" s="4"/>
      <c r="F950" s="4"/>
    </row>
    <row r="951">
      <c r="A951" s="4"/>
      <c r="B951" s="4"/>
      <c r="C951" s="4"/>
      <c r="D951" s="4"/>
      <c r="E951" s="4"/>
      <c r="F951" s="4"/>
    </row>
    <row r="952">
      <c r="A952" s="4"/>
      <c r="B952" s="4"/>
      <c r="C952" s="4"/>
      <c r="D952" s="4"/>
      <c r="E952" s="4"/>
      <c r="F952" s="4"/>
    </row>
    <row r="953">
      <c r="A953" s="4"/>
      <c r="B953" s="4"/>
      <c r="C953" s="4"/>
      <c r="D953" s="4"/>
      <c r="E953" s="4"/>
      <c r="F953" s="4"/>
    </row>
    <row r="954">
      <c r="A954" s="4"/>
      <c r="B954" s="4"/>
      <c r="C954" s="4"/>
      <c r="D954" s="4"/>
      <c r="E954" s="4"/>
      <c r="F954" s="4"/>
    </row>
    <row r="955">
      <c r="A955" s="4"/>
      <c r="B955" s="4"/>
      <c r="C955" s="4"/>
      <c r="D955" s="4"/>
      <c r="E955" s="4"/>
      <c r="F955" s="4"/>
    </row>
    <row r="956">
      <c r="A956" s="4"/>
      <c r="B956" s="4"/>
      <c r="C956" s="4"/>
      <c r="D956" s="4"/>
      <c r="E956" s="4"/>
      <c r="F956" s="4"/>
    </row>
    <row r="957">
      <c r="A957" s="4"/>
      <c r="B957" s="4"/>
      <c r="C957" s="4"/>
      <c r="D957" s="4"/>
      <c r="E957" s="4"/>
      <c r="F957" s="4"/>
    </row>
    <row r="958">
      <c r="A958" s="4"/>
      <c r="B958" s="4"/>
      <c r="C958" s="4"/>
      <c r="D958" s="4"/>
      <c r="E958" s="4"/>
      <c r="F958" s="4"/>
    </row>
    <row r="959">
      <c r="A959" s="4"/>
      <c r="B959" s="4"/>
      <c r="C959" s="4"/>
      <c r="D959" s="4"/>
      <c r="E959" s="4"/>
      <c r="F959" s="4"/>
    </row>
    <row r="960">
      <c r="A960" s="4"/>
      <c r="B960" s="4"/>
      <c r="C960" s="4"/>
      <c r="D960" s="4"/>
      <c r="E960" s="4"/>
      <c r="F960" s="4"/>
    </row>
    <row r="961">
      <c r="A961" s="4"/>
      <c r="B961" s="4"/>
      <c r="C961" s="4"/>
      <c r="D961" s="4"/>
      <c r="E961" s="4"/>
      <c r="F961" s="4"/>
    </row>
    <row r="962">
      <c r="A962" s="4"/>
      <c r="B962" s="4"/>
      <c r="C962" s="4"/>
      <c r="D962" s="4"/>
      <c r="E962" s="4"/>
      <c r="F962" s="4"/>
    </row>
    <row r="963">
      <c r="A963" s="4"/>
      <c r="B963" s="4"/>
      <c r="C963" s="4"/>
      <c r="D963" s="4"/>
      <c r="E963" s="4"/>
      <c r="F963" s="4"/>
    </row>
    <row r="964">
      <c r="A964" s="4"/>
      <c r="B964" s="4"/>
      <c r="C964" s="4"/>
      <c r="D964" s="4"/>
      <c r="E964" s="4"/>
      <c r="F964" s="4"/>
    </row>
    <row r="965">
      <c r="A965" s="4"/>
      <c r="B965" s="4"/>
      <c r="C965" s="4"/>
      <c r="D965" s="4"/>
      <c r="E965" s="4"/>
      <c r="F965" s="4"/>
    </row>
    <row r="966">
      <c r="A966" s="4"/>
      <c r="B966" s="4"/>
      <c r="C966" s="4"/>
      <c r="D966" s="4"/>
      <c r="E966" s="4"/>
      <c r="F966" s="4"/>
    </row>
    <row r="967">
      <c r="A967" s="4"/>
      <c r="B967" s="4"/>
      <c r="C967" s="4"/>
      <c r="D967" s="4"/>
      <c r="E967" s="4"/>
      <c r="F967" s="4"/>
    </row>
    <row r="968">
      <c r="A968" s="4"/>
      <c r="B968" s="4"/>
      <c r="C968" s="4"/>
      <c r="D968" s="4"/>
      <c r="E968" s="4"/>
      <c r="F968" s="4"/>
    </row>
    <row r="969">
      <c r="A969" s="4"/>
      <c r="B969" s="4"/>
      <c r="C969" s="4"/>
      <c r="D969" s="4"/>
      <c r="E969" s="4"/>
      <c r="F969" s="4"/>
    </row>
    <row r="970">
      <c r="A970" s="4"/>
      <c r="B970" s="4"/>
      <c r="C970" s="4"/>
      <c r="D970" s="4"/>
      <c r="E970" s="4"/>
      <c r="F970" s="4"/>
    </row>
    <row r="971">
      <c r="A971" s="4"/>
      <c r="B971" s="4"/>
      <c r="C971" s="4"/>
      <c r="D971" s="4"/>
      <c r="E971" s="4"/>
      <c r="F971" s="4"/>
    </row>
    <row r="972">
      <c r="A972" s="4"/>
      <c r="B972" s="4"/>
      <c r="C972" s="4"/>
      <c r="D972" s="4"/>
      <c r="E972" s="4"/>
      <c r="F972" s="4"/>
    </row>
    <row r="973">
      <c r="A973" s="4"/>
      <c r="B973" s="4"/>
      <c r="C973" s="4"/>
      <c r="D973" s="4"/>
      <c r="E973" s="4"/>
      <c r="F973" s="4"/>
    </row>
    <row r="974">
      <c r="A974" s="4"/>
      <c r="B974" s="4"/>
      <c r="C974" s="4"/>
      <c r="D974" s="4"/>
      <c r="E974" s="4"/>
      <c r="F974" s="4"/>
    </row>
    <row r="975">
      <c r="A975" s="4"/>
      <c r="B975" s="4"/>
      <c r="C975" s="4"/>
      <c r="D975" s="4"/>
      <c r="E975" s="4"/>
      <c r="F975" s="4"/>
    </row>
    <row r="976">
      <c r="A976" s="4"/>
      <c r="B976" s="4"/>
      <c r="C976" s="4"/>
      <c r="D976" s="4"/>
      <c r="E976" s="4"/>
      <c r="F976" s="4"/>
    </row>
    <row r="977">
      <c r="A977" s="4"/>
      <c r="B977" s="4"/>
      <c r="C977" s="4"/>
      <c r="D977" s="4"/>
      <c r="E977" s="4"/>
      <c r="F977" s="4"/>
    </row>
    <row r="978">
      <c r="A978" s="4"/>
      <c r="B978" s="4"/>
      <c r="C978" s="4"/>
      <c r="D978" s="4"/>
      <c r="E978" s="4"/>
      <c r="F978" s="4"/>
    </row>
    <row r="979">
      <c r="A979" s="4"/>
      <c r="B979" s="4"/>
      <c r="C979" s="4"/>
      <c r="D979" s="4"/>
      <c r="E979" s="4"/>
      <c r="F979" s="4"/>
    </row>
    <row r="980">
      <c r="A980" s="4"/>
      <c r="B980" s="4"/>
      <c r="C980" s="4"/>
      <c r="D980" s="4"/>
      <c r="E980" s="4"/>
      <c r="F980" s="4"/>
    </row>
    <row r="981">
      <c r="A981" s="4"/>
      <c r="B981" s="4"/>
      <c r="C981" s="4"/>
      <c r="D981" s="4"/>
      <c r="E981" s="4"/>
      <c r="F981" s="4"/>
    </row>
    <row r="982">
      <c r="A982" s="4"/>
      <c r="B982" s="4"/>
      <c r="C982" s="4"/>
      <c r="D982" s="4"/>
      <c r="E982" s="4"/>
      <c r="F982" s="4"/>
    </row>
    <row r="983">
      <c r="A983" s="4"/>
      <c r="B983" s="4"/>
      <c r="C983" s="4"/>
      <c r="D983" s="4"/>
      <c r="E983" s="4"/>
      <c r="F983" s="4"/>
    </row>
    <row r="984">
      <c r="A984" s="4"/>
      <c r="B984" s="4"/>
      <c r="C984" s="4"/>
      <c r="D984" s="4"/>
      <c r="E984" s="4"/>
      <c r="F984" s="4"/>
    </row>
    <row r="985">
      <c r="A985" s="4"/>
      <c r="B985" s="4"/>
      <c r="C985" s="4"/>
      <c r="D985" s="4"/>
      <c r="E985" s="4"/>
      <c r="F985" s="4"/>
    </row>
    <row r="986">
      <c r="A986" s="4"/>
      <c r="B986" s="4"/>
      <c r="C986" s="4"/>
      <c r="D986" s="4"/>
      <c r="E986" s="4"/>
      <c r="F986" s="4"/>
    </row>
    <row r="987">
      <c r="A987" s="4"/>
      <c r="B987" s="4"/>
      <c r="C987" s="4"/>
      <c r="D987" s="4"/>
      <c r="E987" s="4"/>
      <c r="F987" s="4"/>
    </row>
    <row r="988">
      <c r="A988" s="4"/>
      <c r="B988" s="4"/>
      <c r="C988" s="4"/>
      <c r="D988" s="4"/>
      <c r="E988" s="4"/>
      <c r="F988" s="4"/>
    </row>
    <row r="989">
      <c r="A989" s="4"/>
      <c r="B989" s="4"/>
      <c r="C989" s="4"/>
      <c r="D989" s="4"/>
      <c r="E989" s="4"/>
      <c r="F989" s="4"/>
    </row>
    <row r="990">
      <c r="A990" s="4"/>
      <c r="B990" s="4"/>
      <c r="C990" s="4"/>
      <c r="D990" s="4"/>
      <c r="E990" s="4"/>
      <c r="F990" s="4"/>
    </row>
    <row r="991">
      <c r="A991" s="4"/>
      <c r="B991" s="4"/>
      <c r="C991" s="4"/>
      <c r="D991" s="4"/>
      <c r="E991" s="4"/>
      <c r="F991" s="4"/>
    </row>
    <row r="992">
      <c r="A992" s="4"/>
      <c r="B992" s="4"/>
      <c r="C992" s="4"/>
      <c r="D992" s="4"/>
      <c r="E992" s="4"/>
      <c r="F992" s="4"/>
    </row>
    <row r="993">
      <c r="A993" s="4"/>
      <c r="B993" s="4"/>
      <c r="C993" s="4"/>
      <c r="D993" s="4"/>
      <c r="E993" s="4"/>
      <c r="F993" s="4"/>
    </row>
    <row r="994">
      <c r="A994" s="4"/>
      <c r="B994" s="4"/>
      <c r="C994" s="4"/>
      <c r="D994" s="4"/>
      <c r="E994" s="4"/>
      <c r="F994" s="4"/>
    </row>
    <row r="995">
      <c r="A995" s="4"/>
      <c r="B995" s="4"/>
      <c r="C995" s="4"/>
      <c r="D995" s="4"/>
      <c r="E995" s="4"/>
      <c r="F995" s="4"/>
    </row>
    <row r="996">
      <c r="A996" s="4"/>
      <c r="B996" s="4"/>
      <c r="C996" s="4"/>
      <c r="D996" s="4"/>
      <c r="E996" s="4"/>
      <c r="F996" s="4"/>
    </row>
    <row r="997">
      <c r="A997" s="4"/>
      <c r="B997" s="4"/>
      <c r="C997" s="4"/>
      <c r="D997" s="4"/>
      <c r="E997" s="4"/>
      <c r="F997" s="4"/>
    </row>
    <row r="998">
      <c r="A998" s="4"/>
      <c r="B998" s="4"/>
      <c r="C998" s="4"/>
      <c r="D998" s="4"/>
      <c r="E998" s="4"/>
      <c r="F998" s="4"/>
    </row>
    <row r="999">
      <c r="A999" s="4"/>
      <c r="B999" s="4"/>
      <c r="C999" s="4"/>
      <c r="D999" s="4"/>
      <c r="E999" s="4"/>
      <c r="F999" s="4"/>
    </row>
    <row r="1000">
      <c r="A1000" s="4"/>
      <c r="B1000" s="4"/>
      <c r="C1000" s="4"/>
      <c r="D1000" s="4"/>
      <c r="E1000" s="4"/>
      <c r="F1000" s="4"/>
    </row>
  </sheetData>
  <mergeCells count="4">
    <mergeCell ref="A1:B1"/>
    <mergeCell ref="C1:D1"/>
    <mergeCell ref="I1:I2"/>
    <mergeCell ref="H36:K36"/>
  </mergeCells>
  <hyperlinks>
    <hyperlink r:id="rId1" ref="K39"/>
    <hyperlink r:id="rId2" ref="K40"/>
    <hyperlink r:id="rId3" ref="K41"/>
    <hyperlink r:id="rId4" ref="K42"/>
    <hyperlink r:id="rId5" ref="K43"/>
    <hyperlink r:id="rId6" ref="K44"/>
    <hyperlink r:id="rId7" ref="K45"/>
    <hyperlink r:id="rId8" ref="K46"/>
    <hyperlink r:id="rId9" ref="K47"/>
    <hyperlink r:id="rId10" ref="K48"/>
    <hyperlink r:id="rId11" ref="K49"/>
    <hyperlink r:id="rId12" ref="K50"/>
    <hyperlink r:id="rId13" ref="K51"/>
    <hyperlink r:id="rId14" ref="K52"/>
    <hyperlink r:id="rId15" ref="K53"/>
    <hyperlink r:id="rId16" ref="K54"/>
  </hyperlinks>
  <drawing r:id="rId1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9.88"/>
  </cols>
  <sheetData>
    <row r="1">
      <c r="A1" s="3" t="s">
        <v>2</v>
      </c>
      <c r="B1" s="3" t="s">
        <v>103</v>
      </c>
      <c r="C1" s="3" t="s">
        <v>104</v>
      </c>
      <c r="D1" s="3" t="s">
        <v>105</v>
      </c>
      <c r="E1" s="3" t="s">
        <v>106</v>
      </c>
      <c r="F1" s="3" t="s">
        <v>107</v>
      </c>
      <c r="G1" s="3" t="s">
        <v>108</v>
      </c>
    </row>
    <row r="2">
      <c r="A2" s="4">
        <f t="array" ref="A2:A18">FormYear!C2:C18</f>
        <v>2005</v>
      </c>
      <c r="B2" s="4">
        <f t="array" ref="B2:B18">FormYear!N2:N18</f>
        <v>213200</v>
      </c>
      <c r="C2" s="4">
        <f t="array" ref="C2:F18">FormYear!J2:M18</f>
        <v>55000</v>
      </c>
      <c r="D2" s="4">
        <v>140000.0</v>
      </c>
      <c r="E2" s="4">
        <v>6200.0</v>
      </c>
      <c r="F2" s="4">
        <v>12000.0</v>
      </c>
      <c r="G2" s="45" t="str">
        <f t="array" ref="G2:G18">Emissions!I18:I34</f>
        <v>Edit</v>
      </c>
    </row>
    <row r="3">
      <c r="A3" s="4">
        <v>2006.0</v>
      </c>
      <c r="B3" s="4">
        <v>213350.0</v>
      </c>
      <c r="C3" s="4">
        <v>55000.0</v>
      </c>
      <c r="D3" s="4">
        <v>140000.0</v>
      </c>
      <c r="E3" s="4">
        <v>6250.0</v>
      </c>
      <c r="F3" s="4">
        <v>12100.0</v>
      </c>
      <c r="G3" s="45" t="s">
        <v>109</v>
      </c>
    </row>
    <row r="4">
      <c r="A4" s="4">
        <v>2007.0</v>
      </c>
      <c r="B4" s="4">
        <v>223200.0</v>
      </c>
      <c r="C4" s="4">
        <v>55000.0</v>
      </c>
      <c r="D4" s="4">
        <v>150000.0</v>
      </c>
      <c r="E4" s="4">
        <v>6200.0</v>
      </c>
      <c r="F4" s="4">
        <v>12000.0</v>
      </c>
      <c r="G4" s="45" t="s">
        <v>109</v>
      </c>
    </row>
    <row r="5">
      <c r="A5" s="4">
        <v>2008.0</v>
      </c>
      <c r="B5" s="4">
        <v>213200.0</v>
      </c>
      <c r="C5" s="4">
        <v>55000.0</v>
      </c>
      <c r="D5" s="4">
        <v>140000.0</v>
      </c>
      <c r="E5" s="4">
        <v>6200.0</v>
      </c>
      <c r="F5" s="4">
        <v>12000.0</v>
      </c>
      <c r="G5" s="45" t="s">
        <v>109</v>
      </c>
    </row>
    <row r="6">
      <c r="A6" s="4">
        <v>2009.0</v>
      </c>
      <c r="B6" s="4">
        <v>213900.0</v>
      </c>
      <c r="C6" s="4">
        <v>55400.0</v>
      </c>
      <c r="D6" s="4">
        <v>140000.0</v>
      </c>
      <c r="E6" s="4">
        <v>6300.0</v>
      </c>
      <c r="F6" s="4">
        <v>12200.0</v>
      </c>
      <c r="G6" s="45" t="s">
        <v>109</v>
      </c>
    </row>
    <row r="7">
      <c r="A7" s="4">
        <v>2010.0</v>
      </c>
      <c r="B7" s="4">
        <v>217500.0</v>
      </c>
      <c r="C7" s="4">
        <v>56500.0</v>
      </c>
      <c r="D7" s="4">
        <v>137000.0</v>
      </c>
      <c r="E7" s="4">
        <v>6000.0</v>
      </c>
      <c r="F7" s="4">
        <v>18000.0</v>
      </c>
      <c r="G7" s="45" t="s">
        <v>109</v>
      </c>
    </row>
    <row r="8">
      <c r="A8" s="4">
        <v>2011.0</v>
      </c>
      <c r="B8" s="4">
        <v>213200.0</v>
      </c>
      <c r="C8" s="4">
        <v>55000.0</v>
      </c>
      <c r="D8" s="4">
        <v>140000.0</v>
      </c>
      <c r="E8" s="4">
        <v>6200.0</v>
      </c>
      <c r="F8" s="4">
        <v>12000.0</v>
      </c>
      <c r="G8" s="45" t="s">
        <v>109</v>
      </c>
    </row>
    <row r="9">
      <c r="A9" s="4">
        <v>2012.0</v>
      </c>
      <c r="B9" s="4">
        <v>213200.0</v>
      </c>
      <c r="C9" s="4">
        <v>55000.0</v>
      </c>
      <c r="D9" s="4">
        <v>140000.0</v>
      </c>
      <c r="E9" s="4">
        <v>6200.0</v>
      </c>
      <c r="F9" s="4">
        <v>12000.0</v>
      </c>
      <c r="G9" s="45" t="s">
        <v>109</v>
      </c>
    </row>
    <row r="10">
      <c r="A10" s="4">
        <v>2013.0</v>
      </c>
      <c r="B10" s="4">
        <v>202200.0</v>
      </c>
      <c r="C10" s="4">
        <v>54000.0</v>
      </c>
      <c r="D10" s="4">
        <v>130000.0</v>
      </c>
      <c r="E10" s="4">
        <v>6200.0</v>
      </c>
      <c r="F10" s="4">
        <v>12000.0</v>
      </c>
      <c r="G10" s="45" t="s">
        <v>109</v>
      </c>
    </row>
    <row r="11">
      <c r="A11" s="4">
        <v>2014.0</v>
      </c>
      <c r="B11" s="4">
        <v>213200.0</v>
      </c>
      <c r="C11" s="4">
        <v>55000.0</v>
      </c>
      <c r="D11" s="4">
        <v>140000.0</v>
      </c>
      <c r="E11" s="4">
        <v>6200.0</v>
      </c>
      <c r="F11" s="4">
        <v>12000.0</v>
      </c>
      <c r="G11" s="45" t="s">
        <v>109</v>
      </c>
    </row>
    <row r="12">
      <c r="A12" s="4">
        <v>2015.0</v>
      </c>
      <c r="B12" s="4">
        <v>213200.0</v>
      </c>
      <c r="C12" s="4">
        <v>55000.0</v>
      </c>
      <c r="D12" s="4">
        <v>140000.0</v>
      </c>
      <c r="E12" s="4">
        <v>6200.0</v>
      </c>
      <c r="F12" s="4">
        <v>12000.0</v>
      </c>
      <c r="G12" s="45" t="s">
        <v>109</v>
      </c>
    </row>
    <row r="13">
      <c r="A13" s="4">
        <v>2016.0</v>
      </c>
      <c r="B13" s="4">
        <v>213200.0</v>
      </c>
      <c r="C13" s="4">
        <v>55000.0</v>
      </c>
      <c r="D13" s="4">
        <v>140000.0</v>
      </c>
      <c r="E13" s="4">
        <v>6200.0</v>
      </c>
      <c r="F13" s="4">
        <v>12000.0</v>
      </c>
      <c r="G13" s="45" t="s">
        <v>109</v>
      </c>
    </row>
    <row r="14">
      <c r="A14" s="4">
        <v>2017.0</v>
      </c>
      <c r="B14" s="4">
        <v>213200.0</v>
      </c>
      <c r="C14" s="4">
        <v>55000.0</v>
      </c>
      <c r="D14" s="4">
        <v>140000.0</v>
      </c>
      <c r="E14" s="4">
        <v>6200.0</v>
      </c>
      <c r="F14" s="4">
        <v>12000.0</v>
      </c>
      <c r="G14" s="45" t="s">
        <v>109</v>
      </c>
    </row>
    <row r="15">
      <c r="A15" s="4">
        <v>2018.0</v>
      </c>
      <c r="B15" s="4">
        <v>223200.0</v>
      </c>
      <c r="C15" s="4">
        <v>55000.0</v>
      </c>
      <c r="D15" s="4">
        <v>150000.0</v>
      </c>
      <c r="E15" s="4">
        <v>6200.0</v>
      </c>
      <c r="F15" s="4">
        <v>12000.0</v>
      </c>
      <c r="G15" s="45" t="s">
        <v>109</v>
      </c>
    </row>
    <row r="16">
      <c r="A16" s="4">
        <v>2019.0</v>
      </c>
      <c r="B16" s="4">
        <v>213200.0</v>
      </c>
      <c r="C16" s="4">
        <v>55000.0</v>
      </c>
      <c r="D16" s="4">
        <v>140000.0</v>
      </c>
      <c r="E16" s="4">
        <v>6200.0</v>
      </c>
      <c r="F16" s="4">
        <v>12000.0</v>
      </c>
      <c r="G16" s="45" t="s">
        <v>109</v>
      </c>
    </row>
    <row r="17">
      <c r="A17" s="4">
        <v>2020.0</v>
      </c>
      <c r="B17" s="4">
        <v>213200.0</v>
      </c>
      <c r="C17" s="4">
        <v>55000.0</v>
      </c>
      <c r="D17" s="4">
        <v>140000.0</v>
      </c>
      <c r="E17" s="4">
        <v>6200.0</v>
      </c>
      <c r="F17" s="4">
        <v>12000.0</v>
      </c>
      <c r="G17" s="45" t="s">
        <v>109</v>
      </c>
    </row>
    <row r="18">
      <c r="A18" s="4">
        <v>2021.0</v>
      </c>
      <c r="B18" s="4">
        <v>168200.0</v>
      </c>
      <c r="C18" s="4">
        <v>60000.0</v>
      </c>
      <c r="D18" s="4">
        <v>90000.0</v>
      </c>
      <c r="E18" s="4">
        <v>6200.0</v>
      </c>
      <c r="F18" s="4">
        <v>12000.0</v>
      </c>
      <c r="G18" s="45" t="s">
        <v>109</v>
      </c>
    </row>
  </sheetData>
  <hyperlinks>
    <hyperlink r:id="rId1" ref="G3"/>
    <hyperlink r:id="rId2" ref="G4"/>
    <hyperlink r:id="rId3" ref="G5"/>
    <hyperlink r:id="rId4" ref="G6"/>
    <hyperlink r:id="rId5" ref="G7"/>
    <hyperlink r:id="rId6" ref="G8"/>
    <hyperlink r:id="rId7" ref="G9"/>
    <hyperlink r:id="rId8" ref="G10"/>
    <hyperlink r:id="rId9" ref="G11"/>
    <hyperlink r:id="rId10" ref="G12"/>
    <hyperlink r:id="rId11" ref="G13"/>
    <hyperlink r:id="rId12" ref="G14"/>
    <hyperlink r:id="rId13" ref="G15"/>
    <hyperlink r:id="rId14" ref="G16"/>
    <hyperlink r:id="rId15" ref="G17"/>
    <hyperlink r:id="rId16" ref="G18"/>
  </hyperlinks>
  <drawing r:id="rId1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5.0"/>
    <col customWidth="1" min="2" max="2" width="14.0"/>
    <col customWidth="1" min="3" max="3" width="9.13"/>
    <col customWidth="1" min="4" max="4" width="1.5"/>
    <col customWidth="1" min="5" max="5" width="12.25"/>
    <col customWidth="1" min="6" max="6" width="9.75"/>
    <col customWidth="1" min="7" max="7" width="1.63"/>
    <col customWidth="1" min="8" max="8" width="10.0"/>
    <col customWidth="1" min="9" max="9" width="11.13"/>
    <col customWidth="1" min="10" max="10" width="1.88"/>
    <col customWidth="1" min="13" max="13" width="1.13"/>
    <col customWidth="1" min="15" max="15" width="13.5"/>
    <col customWidth="1" min="16" max="16" width="1.0"/>
    <col customWidth="1" min="17" max="17" width="7.75"/>
    <col customWidth="1" min="20" max="20" width="18.0"/>
    <col customWidth="1" min="21" max="21" width="19.25"/>
  </cols>
  <sheetData>
    <row r="3" ht="37.5" customHeight="1">
      <c r="A3" s="21" t="s">
        <v>202</v>
      </c>
      <c r="P3" s="22"/>
      <c r="Q3" s="21">
        <v>2021.0</v>
      </c>
    </row>
    <row r="4" ht="32.25" customHeight="1">
      <c r="B4" s="145"/>
      <c r="C4" s="145"/>
      <c r="D4" s="145"/>
      <c r="E4" s="145"/>
      <c r="F4" s="145"/>
      <c r="G4" s="145"/>
      <c r="H4" s="145"/>
      <c r="I4" s="145"/>
      <c r="J4" s="145"/>
      <c r="K4" s="145"/>
      <c r="L4" s="145"/>
      <c r="M4" s="145"/>
      <c r="N4" s="145"/>
      <c r="O4" s="145"/>
      <c r="Q4" s="146"/>
    </row>
    <row r="5">
      <c r="B5" s="147" t="s">
        <v>203</v>
      </c>
      <c r="C5" s="148"/>
      <c r="E5" s="147" t="s">
        <v>204</v>
      </c>
      <c r="F5" s="148"/>
      <c r="H5" s="147" t="s">
        <v>205</v>
      </c>
      <c r="I5" s="148"/>
      <c r="K5" s="149" t="s">
        <v>206</v>
      </c>
      <c r="L5" s="84"/>
      <c r="M5" s="84"/>
      <c r="N5" s="84"/>
      <c r="O5" s="85"/>
      <c r="Q5" s="146"/>
    </row>
    <row r="6">
      <c r="B6" s="150">
        <f>Emissions!B34</f>
        <v>29200</v>
      </c>
      <c r="C6" s="151" t="s">
        <v>97</v>
      </c>
      <c r="D6" s="152"/>
      <c r="E6" s="153">
        <v>5552221.0</v>
      </c>
      <c r="F6" s="151" t="s">
        <v>162</v>
      </c>
      <c r="G6" s="152"/>
      <c r="H6" s="150">
        <v>2021.0</v>
      </c>
      <c r="I6" s="154"/>
      <c r="Q6" s="146"/>
    </row>
    <row r="7" ht="9.75" customHeight="1">
      <c r="Q7" s="146"/>
    </row>
    <row r="8">
      <c r="B8" s="147" t="s">
        <v>118</v>
      </c>
      <c r="C8" s="148"/>
      <c r="E8" s="147" t="s">
        <v>163</v>
      </c>
      <c r="F8" s="148"/>
      <c r="H8" s="147" t="s">
        <v>17</v>
      </c>
      <c r="I8" s="148"/>
      <c r="Q8" s="146"/>
    </row>
    <row r="9">
      <c r="B9" s="155">
        <f>Emissions!B18</f>
        <v>31200</v>
      </c>
      <c r="C9" s="151" t="s">
        <v>97</v>
      </c>
      <c r="D9" s="152"/>
      <c r="E9" s="153">
        <v>3335581.0</v>
      </c>
      <c r="F9" s="151" t="s">
        <v>162</v>
      </c>
      <c r="G9" s="152"/>
      <c r="H9" s="150">
        <v>2030.0</v>
      </c>
      <c r="I9" s="154"/>
      <c r="Q9" s="146"/>
    </row>
    <row r="10" ht="10.5" customHeight="1">
      <c r="Q10" s="146"/>
    </row>
    <row r="11">
      <c r="B11" s="156" t="s">
        <v>207</v>
      </c>
      <c r="C11" s="148"/>
      <c r="E11" s="156" t="s">
        <v>208</v>
      </c>
      <c r="F11" s="148"/>
      <c r="H11" s="157" t="s">
        <v>209</v>
      </c>
      <c r="I11" s="148"/>
      <c r="Q11" s="146"/>
    </row>
    <row r="12">
      <c r="B12" s="155">
        <f>B9*(1-Settingsform!I3)</f>
        <v>21840</v>
      </c>
      <c r="C12" s="151" t="s">
        <v>97</v>
      </c>
      <c r="D12" s="39"/>
      <c r="E12" s="158">
        <f>E6*(1-Settingsform!I3)</f>
        <v>3886554.7</v>
      </c>
      <c r="F12" s="151" t="s">
        <v>162</v>
      </c>
      <c r="G12" s="39"/>
      <c r="H12" s="150">
        <v>2030.0</v>
      </c>
      <c r="I12" s="154"/>
      <c r="Q12" s="146"/>
    </row>
    <row r="13">
      <c r="B13" s="159"/>
      <c r="C13" s="159"/>
      <c r="D13" s="39"/>
      <c r="E13" s="159"/>
      <c r="F13" s="159"/>
      <c r="G13" s="39"/>
      <c r="H13" s="160"/>
      <c r="I13" s="160"/>
      <c r="Q13" s="146"/>
    </row>
    <row r="14">
      <c r="B14" s="156" t="s">
        <v>210</v>
      </c>
      <c r="C14" s="148"/>
      <c r="E14" s="156" t="s">
        <v>211</v>
      </c>
      <c r="F14" s="148"/>
      <c r="H14" s="157" t="s">
        <v>212</v>
      </c>
      <c r="I14" s="148"/>
      <c r="Q14" s="146"/>
    </row>
    <row r="15" ht="32.25" customHeight="1">
      <c r="B15" s="161">
        <f>(B6-B12)/B12</f>
        <v>0.336996337</v>
      </c>
      <c r="C15" s="154"/>
      <c r="D15" s="152"/>
      <c r="E15" s="161">
        <f>(E6-E12)/E12</f>
        <v>0.4285714286</v>
      </c>
      <c r="F15" s="154"/>
      <c r="G15" s="152"/>
      <c r="H15" s="162">
        <f>H9-H6</f>
        <v>9</v>
      </c>
      <c r="I15" s="154"/>
      <c r="Q15" s="146"/>
    </row>
    <row r="16" ht="9.75" customHeight="1">
      <c r="Q16" s="146"/>
    </row>
    <row r="17" ht="26.25" customHeight="1">
      <c r="B17" s="163" t="s">
        <v>213</v>
      </c>
      <c r="C17" s="84"/>
      <c r="D17" s="84"/>
      <c r="E17" s="84"/>
      <c r="F17" s="85"/>
      <c r="H17" s="164" t="s">
        <v>193</v>
      </c>
      <c r="I17" s="148"/>
      <c r="Q17" s="146"/>
    </row>
    <row r="18" ht="31.5" customHeight="1">
      <c r="B18" s="165">
        <f>B6*40</f>
        <v>1168000</v>
      </c>
      <c r="C18" s="166"/>
      <c r="D18" s="166"/>
      <c r="E18" s="166"/>
      <c r="F18" s="148"/>
      <c r="H18" s="167">
        <v>40.0</v>
      </c>
      <c r="I18" s="154"/>
      <c r="Q18" s="146"/>
    </row>
    <row r="19" ht="9.75" customHeight="1">
      <c r="Q19" s="146"/>
    </row>
    <row r="20">
      <c r="Q20" s="146"/>
    </row>
    <row r="21">
      <c r="B21" s="163" t="s">
        <v>214</v>
      </c>
      <c r="C21" s="84"/>
      <c r="D21" s="84"/>
      <c r="E21" s="84"/>
      <c r="F21" s="84"/>
      <c r="G21" s="84"/>
      <c r="H21" s="84"/>
      <c r="I21" s="84"/>
      <c r="J21" s="84"/>
      <c r="K21" s="84"/>
      <c r="L21" s="84"/>
      <c r="M21" s="84"/>
      <c r="N21" s="84"/>
      <c r="O21" s="85"/>
      <c r="Q21" s="146"/>
    </row>
    <row r="22">
      <c r="Q22" s="146"/>
    </row>
    <row r="23">
      <c r="Q23" s="146"/>
    </row>
    <row r="24">
      <c r="Q24" s="146"/>
    </row>
    <row r="25">
      <c r="Q25" s="146"/>
    </row>
    <row r="26">
      <c r="Q26" s="146"/>
    </row>
    <row r="27">
      <c r="Q27" s="146"/>
    </row>
    <row r="28">
      <c r="Q28" s="146"/>
    </row>
    <row r="29">
      <c r="Q29" s="146"/>
    </row>
    <row r="30">
      <c r="Q30" s="146"/>
    </row>
    <row r="31">
      <c r="Q31" s="146"/>
    </row>
    <row r="32">
      <c r="Q32" s="146"/>
    </row>
    <row r="33">
      <c r="Q33" s="146"/>
    </row>
    <row r="34">
      <c r="Q34" s="146"/>
    </row>
    <row r="35">
      <c r="Q35" s="146"/>
    </row>
    <row r="36">
      <c r="Q36" s="146"/>
    </row>
    <row r="37">
      <c r="Q37" s="146"/>
    </row>
    <row r="38" ht="9.75" customHeight="1">
      <c r="Q38" s="146"/>
    </row>
    <row r="39" ht="20.25" customHeight="1">
      <c r="B39" s="147" t="s">
        <v>215</v>
      </c>
      <c r="C39" s="166"/>
      <c r="D39" s="166"/>
      <c r="E39" s="166"/>
      <c r="F39" s="166"/>
      <c r="G39" s="166"/>
      <c r="H39" s="166"/>
      <c r="I39" s="166"/>
      <c r="J39" s="166"/>
      <c r="K39" s="166"/>
      <c r="L39" s="166"/>
      <c r="M39" s="166"/>
      <c r="N39" s="166"/>
      <c r="O39" s="148"/>
      <c r="Q39" s="146"/>
    </row>
    <row r="40" ht="21.75" customHeight="1">
      <c r="B40" s="168"/>
      <c r="E40" s="111" t="s">
        <v>216</v>
      </c>
      <c r="G40" s="152"/>
      <c r="H40" s="111">
        <v>2020.0</v>
      </c>
      <c r="J40" s="152"/>
      <c r="K40" s="111" t="s">
        <v>217</v>
      </c>
      <c r="M40" s="169"/>
      <c r="N40" s="111" t="s">
        <v>218</v>
      </c>
      <c r="O40" s="170"/>
      <c r="Q40" s="146"/>
    </row>
    <row r="41">
      <c r="B41" s="171" t="s">
        <v>166</v>
      </c>
      <c r="E41" s="111" t="s">
        <v>167</v>
      </c>
      <c r="F41" s="111" t="s">
        <v>219</v>
      </c>
      <c r="G41" s="77"/>
      <c r="H41" s="111" t="s">
        <v>220</v>
      </c>
      <c r="I41" s="111" t="s">
        <v>219</v>
      </c>
      <c r="J41" s="77"/>
      <c r="K41" s="111" t="s">
        <v>167</v>
      </c>
      <c r="L41" s="111" t="s">
        <v>219</v>
      </c>
      <c r="N41" s="111" t="s">
        <v>167</v>
      </c>
      <c r="O41" s="172" t="s">
        <v>219</v>
      </c>
      <c r="Q41" s="146"/>
    </row>
    <row r="42">
      <c r="B42" s="173" t="s">
        <v>221</v>
      </c>
      <c r="E42" s="4">
        <f t="array" ref="E42:E45">TRANSPOSE(Emissions!C18:F18)</f>
        <v>10000</v>
      </c>
      <c r="H42" s="4">
        <f t="array" ref="H42:H45">TRANSPOSE(Emissions!C33:F33)</f>
        <v>10000</v>
      </c>
      <c r="K42" s="4">
        <f t="array" ref="K42:K45">TRANSPOSE(Emissions!C34:F34)</f>
        <v>19000</v>
      </c>
      <c r="N42" s="4">
        <f>E42*(1-Settingsform!I$3)</f>
        <v>7000</v>
      </c>
      <c r="O42" s="174"/>
      <c r="Q42" s="146"/>
    </row>
    <row r="43">
      <c r="B43" s="173" t="s">
        <v>105</v>
      </c>
      <c r="E43" s="4">
        <v>14000.0</v>
      </c>
      <c r="H43" s="4">
        <v>12000.0</v>
      </c>
      <c r="K43" s="4">
        <v>6000.0</v>
      </c>
      <c r="N43" s="4">
        <f>E43*(1-Settingsform!I$3)</f>
        <v>9800</v>
      </c>
      <c r="O43" s="174"/>
      <c r="Q43" s="146"/>
    </row>
    <row r="44">
      <c r="B44" s="173" t="s">
        <v>106</v>
      </c>
      <c r="E44" s="4">
        <v>3000.0</v>
      </c>
      <c r="H44" s="4">
        <v>3000.0</v>
      </c>
      <c r="K44" s="4">
        <v>2000.0</v>
      </c>
      <c r="N44" s="4">
        <f>E44*(1-Settingsform!I$3)</f>
        <v>2100</v>
      </c>
      <c r="O44" s="174"/>
      <c r="Q44" s="146"/>
    </row>
    <row r="45">
      <c r="B45" s="173" t="s">
        <v>107</v>
      </c>
      <c r="E45" s="4">
        <v>4200.0</v>
      </c>
      <c r="H45" s="4">
        <v>4200.0</v>
      </c>
      <c r="K45" s="4">
        <v>2200.0</v>
      </c>
      <c r="N45" s="4">
        <f>E45*(1-Settingsform!I$3)</f>
        <v>2940</v>
      </c>
      <c r="O45" s="174"/>
      <c r="Q45" s="146"/>
    </row>
    <row r="46">
      <c r="B46" s="168"/>
      <c r="O46" s="174"/>
      <c r="Q46" s="146"/>
    </row>
    <row r="47">
      <c r="B47" s="175" t="s">
        <v>103</v>
      </c>
      <c r="C47" s="176"/>
      <c r="D47" s="177"/>
      <c r="E47" s="177">
        <f>SUM(E42:E45)</f>
        <v>31200</v>
      </c>
      <c r="F47" s="177"/>
      <c r="G47" s="177"/>
      <c r="H47" s="177">
        <f>SUM(H42:H45)</f>
        <v>29200</v>
      </c>
      <c r="I47" s="177"/>
      <c r="J47" s="177"/>
      <c r="K47" s="177">
        <f>SUM(K42:K45)</f>
        <v>29200</v>
      </c>
      <c r="L47" s="177"/>
      <c r="M47" s="177"/>
      <c r="N47" s="177">
        <f>E47*(1-Settingsform!I$3)</f>
        <v>21840</v>
      </c>
      <c r="O47" s="178"/>
      <c r="Q47" s="146"/>
    </row>
    <row r="48">
      <c r="E48" s="169"/>
      <c r="F48" s="169"/>
      <c r="H48" s="3"/>
      <c r="K48" s="3"/>
      <c r="Q48" s="146"/>
    </row>
    <row r="49">
      <c r="B49" s="147" t="s">
        <v>222</v>
      </c>
      <c r="C49" s="166"/>
      <c r="D49" s="166"/>
      <c r="E49" s="166"/>
      <c r="F49" s="166"/>
      <c r="G49" s="166"/>
      <c r="H49" s="166"/>
      <c r="I49" s="166"/>
      <c r="J49" s="166"/>
      <c r="K49" s="166"/>
      <c r="L49" s="166"/>
      <c r="M49" s="166"/>
      <c r="N49" s="166"/>
      <c r="O49" s="148"/>
      <c r="Q49" s="146"/>
    </row>
    <row r="50" ht="24.75" customHeight="1">
      <c r="B50" s="179"/>
      <c r="C50" s="180"/>
      <c r="D50" s="180"/>
      <c r="E50" s="181" t="s">
        <v>205</v>
      </c>
      <c r="F50" s="84"/>
      <c r="G50" s="182"/>
      <c r="H50" s="181" t="s">
        <v>223</v>
      </c>
      <c r="I50" s="84"/>
      <c r="J50" s="182"/>
      <c r="K50" s="181" t="s">
        <v>132</v>
      </c>
      <c r="L50" s="84"/>
      <c r="M50" s="180"/>
      <c r="N50" s="180"/>
      <c r="O50" s="183"/>
      <c r="Q50" s="146"/>
    </row>
    <row r="51">
      <c r="B51" s="171" t="s">
        <v>166</v>
      </c>
      <c r="E51" s="111" t="s">
        <v>220</v>
      </c>
      <c r="F51" s="111" t="s">
        <v>219</v>
      </c>
      <c r="G51" s="77"/>
      <c r="H51" s="111" t="s">
        <v>224</v>
      </c>
      <c r="I51" s="111" t="s">
        <v>219</v>
      </c>
      <c r="J51" s="77"/>
      <c r="K51" s="111" t="s">
        <v>224</v>
      </c>
      <c r="L51" s="111" t="s">
        <v>219</v>
      </c>
      <c r="O51" s="174"/>
      <c r="Q51" s="146"/>
    </row>
    <row r="52">
      <c r="B52" s="173" t="s">
        <v>221</v>
      </c>
      <c r="E52" s="4">
        <f t="array" ref="E52:E55">TRANSPOSE(Emissions!C34:F34)</f>
        <v>19000</v>
      </c>
      <c r="H52" s="60">
        <f t="shared" ref="H52:H55" si="1">(K42-H42)/H42</f>
        <v>0.9</v>
      </c>
      <c r="K52" s="43">
        <f t="shared" ref="K52:K55" si="2">(E42-K42)/(E42-N42)</f>
        <v>-3</v>
      </c>
      <c r="O52" s="174"/>
      <c r="Q52" s="146"/>
    </row>
    <row r="53">
      <c r="B53" s="173" t="s">
        <v>105</v>
      </c>
      <c r="E53" s="4">
        <v>6000.0</v>
      </c>
      <c r="H53" s="60">
        <f t="shared" si="1"/>
        <v>-0.5</v>
      </c>
      <c r="K53" s="43">
        <f t="shared" si="2"/>
        <v>1.904761905</v>
      </c>
      <c r="O53" s="174"/>
      <c r="Q53" s="146"/>
    </row>
    <row r="54">
      <c r="B54" s="173" t="s">
        <v>106</v>
      </c>
      <c r="E54" s="4">
        <v>2000.0</v>
      </c>
      <c r="H54" s="60">
        <f t="shared" si="1"/>
        <v>-0.3333333333</v>
      </c>
      <c r="K54" s="43">
        <f t="shared" si="2"/>
        <v>1.111111111</v>
      </c>
      <c r="O54" s="174"/>
      <c r="Q54" s="146"/>
    </row>
    <row r="55">
      <c r="B55" s="173" t="s">
        <v>107</v>
      </c>
      <c r="E55" s="4">
        <v>2200.0</v>
      </c>
      <c r="H55" s="60">
        <f t="shared" si="1"/>
        <v>-0.4761904762</v>
      </c>
      <c r="K55" s="43">
        <f t="shared" si="2"/>
        <v>1.587301587</v>
      </c>
      <c r="O55" s="174"/>
      <c r="Q55" s="146"/>
    </row>
    <row r="56">
      <c r="B56" s="168"/>
      <c r="H56" s="60"/>
      <c r="K56" s="43"/>
      <c r="O56" s="174"/>
      <c r="Q56" s="146"/>
    </row>
    <row r="57">
      <c r="B57" s="171" t="s">
        <v>103</v>
      </c>
      <c r="E57" s="4">
        <f>SUM(E52:E55)</f>
        <v>29200</v>
      </c>
      <c r="H57" s="60">
        <f>(K47-H47)/H47</f>
        <v>0</v>
      </c>
      <c r="K57" s="43">
        <f>(E47-K47)/(E47-N47)</f>
        <v>0.2136752137</v>
      </c>
      <c r="O57" s="174"/>
      <c r="Q57" s="146"/>
    </row>
    <row r="58">
      <c r="B58" s="184" t="s">
        <v>225</v>
      </c>
      <c r="K58" s="43"/>
      <c r="O58" s="174"/>
      <c r="Q58" s="146"/>
    </row>
    <row r="59">
      <c r="B59" s="185" t="s">
        <v>226</v>
      </c>
      <c r="K59" s="43"/>
      <c r="O59" s="174"/>
      <c r="Q59" s="146"/>
    </row>
    <row r="60">
      <c r="B60" s="186"/>
      <c r="C60" s="177"/>
      <c r="D60" s="177"/>
      <c r="E60" s="177"/>
      <c r="F60" s="177"/>
      <c r="G60" s="177"/>
      <c r="H60" s="177"/>
      <c r="I60" s="177"/>
      <c r="J60" s="177"/>
      <c r="K60" s="177"/>
      <c r="L60" s="177"/>
      <c r="M60" s="177"/>
      <c r="N60" s="177"/>
      <c r="O60" s="178"/>
      <c r="Q60" s="146"/>
    </row>
    <row r="61">
      <c r="Q61" s="146"/>
    </row>
    <row r="62">
      <c r="B62" s="147" t="s">
        <v>227</v>
      </c>
      <c r="C62" s="166"/>
      <c r="D62" s="166"/>
      <c r="E62" s="166"/>
      <c r="F62" s="166"/>
      <c r="G62" s="166"/>
      <c r="H62" s="166"/>
      <c r="I62" s="166"/>
      <c r="J62" s="166"/>
      <c r="K62" s="166"/>
      <c r="L62" s="166"/>
      <c r="M62" s="166"/>
      <c r="N62" s="166"/>
      <c r="O62" s="148"/>
      <c r="Q62" s="146"/>
    </row>
    <row r="63">
      <c r="Q63" s="146"/>
    </row>
    <row r="64">
      <c r="Q64" s="146"/>
    </row>
    <row r="65">
      <c r="Q65" s="146"/>
    </row>
    <row r="66">
      <c r="Q66" s="146"/>
    </row>
    <row r="67">
      <c r="Q67" s="146"/>
    </row>
    <row r="68">
      <c r="Q68" s="146"/>
    </row>
    <row r="69">
      <c r="Q69" s="146"/>
    </row>
    <row r="70">
      <c r="Q70" s="146"/>
    </row>
    <row r="71">
      <c r="Q71" s="146"/>
    </row>
    <row r="72">
      <c r="Q72" s="146"/>
    </row>
    <row r="73">
      <c r="Q73" s="146"/>
    </row>
    <row r="74">
      <c r="Q74" s="146"/>
    </row>
    <row r="75">
      <c r="Q75" s="146"/>
    </row>
    <row r="76">
      <c r="Q76" s="146"/>
    </row>
    <row r="77">
      <c r="Q77" s="146"/>
    </row>
    <row r="78">
      <c r="Q78" s="146"/>
    </row>
    <row r="79">
      <c r="Q79" s="146"/>
    </row>
    <row r="80">
      <c r="Q80" s="146"/>
    </row>
    <row r="81">
      <c r="B81" s="147" t="s">
        <v>228</v>
      </c>
      <c r="C81" s="166"/>
      <c r="D81" s="166"/>
      <c r="E81" s="166"/>
      <c r="F81" s="166"/>
      <c r="G81" s="166"/>
      <c r="H81" s="166"/>
      <c r="I81" s="166"/>
      <c r="J81" s="166"/>
      <c r="K81" s="166"/>
      <c r="L81" s="166"/>
      <c r="M81" s="166"/>
      <c r="N81" s="166"/>
      <c r="O81" s="148"/>
      <c r="Q81" s="146"/>
    </row>
    <row r="82">
      <c r="Q82" s="146"/>
    </row>
    <row r="83">
      <c r="Q83" s="146"/>
    </row>
    <row r="84">
      <c r="Q84" s="146"/>
    </row>
    <row r="85">
      <c r="Q85" s="146"/>
    </row>
    <row r="86">
      <c r="Q86" s="146"/>
    </row>
    <row r="87">
      <c r="Q87" s="146"/>
    </row>
    <row r="88">
      <c r="Q88" s="146"/>
    </row>
    <row r="89">
      <c r="Q89" s="146"/>
    </row>
    <row r="90">
      <c r="Q90" s="146"/>
    </row>
    <row r="91">
      <c r="Q91" s="146"/>
    </row>
    <row r="92">
      <c r="Q92" s="146"/>
    </row>
    <row r="93">
      <c r="Q93" s="146"/>
    </row>
    <row r="94">
      <c r="Q94" s="146"/>
    </row>
    <row r="95">
      <c r="Q95" s="146"/>
    </row>
    <row r="96">
      <c r="Q96" s="146"/>
    </row>
    <row r="97">
      <c r="Q97" s="146"/>
    </row>
    <row r="98">
      <c r="Q98" s="146"/>
    </row>
    <row r="99">
      <c r="Q99" s="146"/>
    </row>
    <row r="100">
      <c r="Q100" s="146"/>
    </row>
    <row r="101">
      <c r="Q101" s="146"/>
    </row>
    <row r="102">
      <c r="Q102" s="146"/>
    </row>
    <row r="103">
      <c r="Q103" s="146"/>
    </row>
    <row r="105">
      <c r="E105" s="147" t="s">
        <v>229</v>
      </c>
      <c r="F105" s="166"/>
      <c r="G105" s="166"/>
      <c r="H105" s="166"/>
      <c r="I105" s="166"/>
      <c r="J105" s="166"/>
      <c r="K105" s="166"/>
      <c r="L105" s="148"/>
    </row>
    <row r="109" ht="57.0" customHeight="1"/>
    <row r="112" ht="99.0" customHeight="1"/>
    <row r="117">
      <c r="B117" s="147" t="s">
        <v>230</v>
      </c>
      <c r="C117" s="166"/>
      <c r="D117" s="166"/>
      <c r="E117" s="166"/>
      <c r="F117" s="166"/>
      <c r="G117" s="166"/>
      <c r="H117" s="166"/>
      <c r="I117" s="166"/>
      <c r="J117" s="166"/>
      <c r="K117" s="166"/>
      <c r="L117" s="166"/>
      <c r="M117" s="166"/>
      <c r="N117" s="166"/>
      <c r="O117" s="148"/>
    </row>
  </sheetData>
  <mergeCells count="52">
    <mergeCell ref="A3:O3"/>
    <mergeCell ref="B5:C5"/>
    <mergeCell ref="E5:F5"/>
    <mergeCell ref="H5:I5"/>
    <mergeCell ref="K5:O5"/>
    <mergeCell ref="H6:I6"/>
    <mergeCell ref="B8:C8"/>
    <mergeCell ref="E8:F8"/>
    <mergeCell ref="H8:I8"/>
    <mergeCell ref="H9:I9"/>
    <mergeCell ref="B11:C11"/>
    <mergeCell ref="E11:F11"/>
    <mergeCell ref="H11:I11"/>
    <mergeCell ref="H12:I12"/>
    <mergeCell ref="B14:C14"/>
    <mergeCell ref="E14:F14"/>
    <mergeCell ref="H14:I14"/>
    <mergeCell ref="B15:C15"/>
    <mergeCell ref="E15:F15"/>
    <mergeCell ref="H15:I15"/>
    <mergeCell ref="H17:I17"/>
    <mergeCell ref="K40:L40"/>
    <mergeCell ref="N40:O40"/>
    <mergeCell ref="B17:F17"/>
    <mergeCell ref="B18:F18"/>
    <mergeCell ref="H18:I18"/>
    <mergeCell ref="B21:O21"/>
    <mergeCell ref="B39:O39"/>
    <mergeCell ref="E40:F40"/>
    <mergeCell ref="H40:I40"/>
    <mergeCell ref="B41:C41"/>
    <mergeCell ref="B42:C42"/>
    <mergeCell ref="B43:C43"/>
    <mergeCell ref="B44:C44"/>
    <mergeCell ref="B45:C45"/>
    <mergeCell ref="B47:C47"/>
    <mergeCell ref="B49:O49"/>
    <mergeCell ref="B55:C55"/>
    <mergeCell ref="B57:C57"/>
    <mergeCell ref="B58:H58"/>
    <mergeCell ref="B59:H59"/>
    <mergeCell ref="B62:O62"/>
    <mergeCell ref="B81:O81"/>
    <mergeCell ref="E105:L105"/>
    <mergeCell ref="B117:O117"/>
    <mergeCell ref="E50:F50"/>
    <mergeCell ref="H50:I50"/>
    <mergeCell ref="K50:L50"/>
    <mergeCell ref="B51:C51"/>
    <mergeCell ref="B52:C52"/>
    <mergeCell ref="B53:C53"/>
    <mergeCell ref="B54:C54"/>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7.88"/>
    <col customWidth="1" min="2" max="2" width="14.5"/>
    <col customWidth="1" min="3" max="3" width="11.75"/>
    <col customWidth="1" min="4" max="4" width="19.75"/>
    <col customWidth="1" min="5" max="5" width="19.88"/>
    <col customWidth="1" min="6" max="6" width="16.63"/>
    <col customWidth="1" min="7" max="7" width="25.63"/>
    <col customWidth="1" min="8" max="8" width="23.63"/>
    <col customWidth="1" min="9" max="10" width="34.38"/>
    <col customWidth="1" min="11" max="12" width="33.75"/>
    <col customWidth="1" min="13" max="13" width="15.25"/>
    <col customWidth="1" min="14" max="14" width="13.88"/>
  </cols>
  <sheetData>
    <row r="1">
      <c r="A1" s="1" t="s">
        <v>0</v>
      </c>
      <c r="B1" s="1" t="s">
        <v>17</v>
      </c>
      <c r="C1" s="1" t="s">
        <v>3</v>
      </c>
      <c r="D1" s="1" t="s">
        <v>18</v>
      </c>
      <c r="E1" s="1" t="s">
        <v>19</v>
      </c>
      <c r="F1" s="1" t="s">
        <v>5</v>
      </c>
      <c r="G1" s="1" t="s">
        <v>6</v>
      </c>
      <c r="H1" s="1" t="s">
        <v>20</v>
      </c>
      <c r="I1" s="1" t="s">
        <v>21</v>
      </c>
      <c r="J1" s="1" t="s">
        <v>22</v>
      </c>
      <c r="K1" s="1" t="s">
        <v>23</v>
      </c>
      <c r="L1" s="1" t="s">
        <v>24</v>
      </c>
      <c r="M1" s="1" t="s">
        <v>14</v>
      </c>
      <c r="N1" s="1" t="s">
        <v>15</v>
      </c>
    </row>
    <row r="2">
      <c r="A2" s="2">
        <v>44685.23771990741</v>
      </c>
      <c r="B2" s="3">
        <v>2005.0</v>
      </c>
      <c r="C2" s="3">
        <v>244300.0</v>
      </c>
      <c r="D2" s="3">
        <v>0.02</v>
      </c>
      <c r="E2" s="3">
        <v>20000.0</v>
      </c>
      <c r="F2" s="3">
        <v>26000.0</v>
      </c>
      <c r="G2" s="3">
        <v>5000.0</v>
      </c>
      <c r="H2" s="3">
        <v>13000.0</v>
      </c>
      <c r="I2" s="3">
        <v>0.6</v>
      </c>
      <c r="J2" s="3">
        <v>0.95</v>
      </c>
      <c r="K2" s="3">
        <v>0.05</v>
      </c>
      <c r="L2" s="3">
        <v>0.07</v>
      </c>
      <c r="M2" s="4" t="str">
        <f>TEXT("5274773396718464534","0")</f>
        <v>5274773396718464534</v>
      </c>
      <c r="N2" s="5" t="str">
        <f>HYPERLINK("https://www.jotform.com/edit/5274773396718464534","Edit Submission")</f>
        <v>Edit Submission</v>
      </c>
    </row>
    <row r="3">
      <c r="A3" s="2">
        <v>44685.23826388889</v>
      </c>
      <c r="B3" s="3">
        <v>2005.0</v>
      </c>
      <c r="C3" s="3">
        <v>260000.0</v>
      </c>
      <c r="D3" s="3">
        <v>0.02</v>
      </c>
      <c r="E3" s="3">
        <v>20000.0</v>
      </c>
      <c r="F3" s="3">
        <v>26000.0</v>
      </c>
      <c r="G3" s="3">
        <v>5000.0</v>
      </c>
      <c r="H3" s="3">
        <v>13000.0</v>
      </c>
      <c r="I3" s="3">
        <v>0.3</v>
      </c>
      <c r="J3" s="3">
        <v>0.95</v>
      </c>
      <c r="K3" s="3">
        <v>0.07</v>
      </c>
      <c r="L3" s="3">
        <v>0.1</v>
      </c>
      <c r="M3" s="4" t="str">
        <f>TEXT("5274773866712915608","0")</f>
        <v>5274773866712915608</v>
      </c>
      <c r="N3" s="5" t="str">
        <f>HYPERLINK("https://www.jotform.com/edit/5274773866712915608","Edit Submission")</f>
        <v>Edit Submission</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25"/>
    <col customWidth="1" min="2" max="2" width="15.88"/>
    <col customWidth="1" min="3" max="3" width="36.88"/>
    <col customWidth="1" min="4" max="4" width="33.63"/>
    <col customWidth="1" min="5" max="5" width="38.63"/>
    <col customWidth="1" min="6" max="6" width="35.5"/>
    <col customWidth="1" min="7" max="7" width="36.5"/>
    <col customWidth="1" min="8" max="8" width="33.38"/>
    <col customWidth="1" min="9" max="9" width="36.5"/>
    <col customWidth="1" min="10" max="10" width="33.38"/>
    <col customWidth="1" min="11" max="11" width="29.5"/>
    <col customWidth="1" min="12" max="12" width="26.38"/>
    <col customWidth="1" min="13" max="13" width="29.5"/>
    <col customWidth="1" min="14" max="14" width="26.38"/>
    <col customWidth="1" min="15" max="15" width="33.25"/>
    <col customWidth="1" min="16" max="16" width="30.13"/>
    <col customWidth="1" min="17" max="17" width="33.25"/>
    <col customWidth="1" min="18" max="18" width="30.13"/>
    <col customWidth="1" min="19" max="19" width="32.88"/>
    <col customWidth="1" min="20" max="20" width="29.75"/>
    <col customWidth="1" min="21" max="21" width="32.88"/>
    <col customWidth="1" min="22" max="22" width="29.75"/>
    <col customWidth="1" min="23" max="23" width="36.75"/>
    <col customWidth="1" min="24" max="24" width="33.5"/>
    <col customWidth="1" min="25" max="25" width="36.75"/>
    <col customWidth="1" min="26" max="26" width="33.5"/>
    <col customWidth="1" min="27" max="27" width="20.63"/>
    <col customWidth="1" min="28" max="28" width="13.88"/>
  </cols>
  <sheetData>
    <row r="1">
      <c r="A1" s="1" t="s">
        <v>0</v>
      </c>
      <c r="B1" s="1" t="s">
        <v>25</v>
      </c>
      <c r="C1" s="1" t="s">
        <v>26</v>
      </c>
      <c r="D1" s="1" t="s">
        <v>27</v>
      </c>
      <c r="E1" s="1" t="s">
        <v>28</v>
      </c>
      <c r="F1" s="1" t="s">
        <v>29</v>
      </c>
      <c r="G1" s="1" t="s">
        <v>30</v>
      </c>
      <c r="H1" s="1" t="s">
        <v>31</v>
      </c>
      <c r="I1" s="1" t="s">
        <v>32</v>
      </c>
      <c r="J1" s="1" t="s">
        <v>33</v>
      </c>
      <c r="K1" s="1" t="s">
        <v>34</v>
      </c>
      <c r="L1" s="1" t="s">
        <v>35</v>
      </c>
      <c r="M1" s="1" t="s">
        <v>36</v>
      </c>
      <c r="N1" s="1" t="s">
        <v>37</v>
      </c>
      <c r="O1" s="1" t="s">
        <v>38</v>
      </c>
      <c r="P1" s="1" t="s">
        <v>39</v>
      </c>
      <c r="Q1" s="1" t="s">
        <v>40</v>
      </c>
      <c r="R1" s="1" t="s">
        <v>41</v>
      </c>
      <c r="S1" s="1" t="s">
        <v>42</v>
      </c>
      <c r="T1" s="1" t="s">
        <v>43</v>
      </c>
      <c r="U1" s="1" t="s">
        <v>44</v>
      </c>
      <c r="V1" s="1" t="s">
        <v>45</v>
      </c>
      <c r="W1" s="1" t="s">
        <v>46</v>
      </c>
      <c r="X1" s="1" t="s">
        <v>47</v>
      </c>
      <c r="Y1" s="1" t="s">
        <v>48</v>
      </c>
      <c r="Z1" s="1" t="s">
        <v>49</v>
      </c>
      <c r="AA1" s="1" t="s">
        <v>14</v>
      </c>
      <c r="AB1" s="1" t="s">
        <v>15</v>
      </c>
    </row>
    <row r="2">
      <c r="A2" s="2">
        <v>44620.45857638889</v>
      </c>
      <c r="B2" s="3" t="s">
        <v>50</v>
      </c>
      <c r="C2" s="3">
        <v>73.0</v>
      </c>
      <c r="D2" s="3">
        <v>50.0</v>
      </c>
      <c r="E2" s="3">
        <v>48.0</v>
      </c>
      <c r="F2" s="3">
        <v>39.0</v>
      </c>
      <c r="G2" s="3">
        <v>10.0</v>
      </c>
      <c r="H2" s="3">
        <v>80.0</v>
      </c>
      <c r="I2" s="3">
        <v>25.0</v>
      </c>
      <c r="J2" s="3">
        <v>85.0</v>
      </c>
      <c r="K2" s="3">
        <v>28.0</v>
      </c>
      <c r="L2" s="3">
        <v>80.0</v>
      </c>
      <c r="M2" s="3">
        <v>20.0</v>
      </c>
      <c r="N2" s="3">
        <v>70.0</v>
      </c>
      <c r="O2" s="3">
        <v>10.0</v>
      </c>
      <c r="P2" s="3">
        <v>20.0</v>
      </c>
      <c r="Q2" s="3">
        <v>20.0</v>
      </c>
      <c r="R2" s="3">
        <v>20.0</v>
      </c>
      <c r="S2" s="3">
        <v>19.0</v>
      </c>
      <c r="T2" s="3">
        <v>87.0</v>
      </c>
      <c r="U2" s="3">
        <v>48.0</v>
      </c>
      <c r="V2" s="3">
        <v>94.0</v>
      </c>
      <c r="W2" s="3">
        <v>20.0</v>
      </c>
      <c r="X2" s="3">
        <v>80.0</v>
      </c>
      <c r="Y2" s="3">
        <v>80.0</v>
      </c>
      <c r="Z2" s="3">
        <v>85.0</v>
      </c>
      <c r="AA2" s="4" t="str">
        <f>TEXT("5218840213421765466","0")</f>
        <v>5218840213421765466</v>
      </c>
      <c r="AB2" s="5" t="str">
        <f>HYPERLINK("https://www.jotform.com/edit/5218840213421765466","Edit Submission")</f>
        <v>Edit Submission</v>
      </c>
    </row>
    <row r="3">
      <c r="A3" s="2">
        <v>44650.34633101852</v>
      </c>
      <c r="B3" s="3" t="s">
        <v>51</v>
      </c>
      <c r="C3" s="3">
        <v>48.0</v>
      </c>
      <c r="D3" s="3">
        <v>50.0</v>
      </c>
      <c r="E3" s="3">
        <v>63.0</v>
      </c>
      <c r="F3" s="3">
        <v>70.0</v>
      </c>
      <c r="S3" s="3">
        <v>54.0</v>
      </c>
      <c r="T3" s="3">
        <v>90.0</v>
      </c>
      <c r="U3" s="3">
        <v>80.0</v>
      </c>
      <c r="V3" s="3">
        <v>90.0</v>
      </c>
      <c r="W3" s="3">
        <v>49.0</v>
      </c>
      <c r="X3" s="3">
        <v>80.0</v>
      </c>
      <c r="Y3" s="3">
        <v>80.0</v>
      </c>
      <c r="Z3" s="3">
        <v>85.0</v>
      </c>
      <c r="AA3" s="4" t="str">
        <f>TEXT("5244627233429685436","0")</f>
        <v>5244627233429685436</v>
      </c>
      <c r="AB3" s="5" t="str">
        <f>HYPERLINK("https://www.jotform.com/edit/5244627233429685436","Edit Submission")</f>
        <v>Edit Submission</v>
      </c>
    </row>
    <row r="4">
      <c r="A4" s="2">
        <v>44674.51744212963</v>
      </c>
      <c r="B4" s="3" t="s">
        <v>52</v>
      </c>
      <c r="AA4" s="4" t="str">
        <f>TEXT("5265511070565832490","0")</f>
        <v>5265511070565832490</v>
      </c>
      <c r="AB4" s="5" t="str">
        <f>HYPERLINK("https://www.jotform.com/edit/5265511070565832490","Edit Submission")</f>
        <v>Edit Submission</v>
      </c>
    </row>
    <row r="5">
      <c r="A5" s="2">
        <v>44674.518912037034</v>
      </c>
      <c r="B5" s="3" t="s">
        <v>53</v>
      </c>
      <c r="C5" s="3">
        <v>72.0</v>
      </c>
      <c r="D5" s="3">
        <v>80.0</v>
      </c>
      <c r="E5" s="3">
        <v>82.0</v>
      </c>
      <c r="F5" s="3">
        <v>93.0</v>
      </c>
      <c r="G5" s="3">
        <v>10.0</v>
      </c>
      <c r="H5" s="3">
        <v>80.0</v>
      </c>
      <c r="I5" s="3">
        <v>91.0</v>
      </c>
      <c r="J5" s="3">
        <v>85.0</v>
      </c>
      <c r="K5" s="3">
        <v>73.0</v>
      </c>
      <c r="L5" s="3">
        <v>89.0</v>
      </c>
      <c r="M5" s="3">
        <v>89.0</v>
      </c>
      <c r="N5" s="3">
        <v>70.0</v>
      </c>
      <c r="O5" s="3">
        <v>10.0</v>
      </c>
      <c r="P5" s="3">
        <v>20.0</v>
      </c>
      <c r="Q5" s="3">
        <v>20.0</v>
      </c>
      <c r="R5" s="3">
        <v>20.0</v>
      </c>
      <c r="S5" s="3">
        <v>50.0</v>
      </c>
      <c r="T5" s="3">
        <v>90.0</v>
      </c>
      <c r="U5" s="3">
        <v>80.0</v>
      </c>
      <c r="V5" s="3">
        <v>90.0</v>
      </c>
      <c r="W5" s="3">
        <v>20.0</v>
      </c>
      <c r="X5" s="3">
        <v>80.0</v>
      </c>
      <c r="Y5" s="3">
        <v>80.0</v>
      </c>
      <c r="Z5" s="3">
        <v>85.0</v>
      </c>
      <c r="AA5" s="4" t="str">
        <f>TEXT("5265512340566046377","0")</f>
        <v>5265512340566046377</v>
      </c>
      <c r="AB5" s="5" t="str">
        <f>HYPERLINK("https://www.jotform.com/edit/5265512340566046377","Edit Submission")</f>
        <v>Edit Submission</v>
      </c>
    </row>
    <row r="6">
      <c r="A6" s="2">
        <v>44676.58582175926</v>
      </c>
      <c r="B6" s="3" t="s">
        <v>54</v>
      </c>
      <c r="C6" s="3">
        <v>50.0</v>
      </c>
      <c r="D6" s="3">
        <v>47.0</v>
      </c>
      <c r="E6" s="3">
        <v>66.0</v>
      </c>
      <c r="F6" s="3">
        <v>77.0</v>
      </c>
      <c r="G6" s="3">
        <v>40.0</v>
      </c>
      <c r="H6" s="3">
        <v>80.0</v>
      </c>
      <c r="I6" s="3">
        <v>68.0</v>
      </c>
      <c r="J6" s="3">
        <v>85.0</v>
      </c>
      <c r="K6" s="3">
        <v>10.0</v>
      </c>
      <c r="L6" s="3">
        <v>60.0</v>
      </c>
      <c r="M6" s="3">
        <v>20.0</v>
      </c>
      <c r="N6" s="3">
        <v>70.0</v>
      </c>
      <c r="O6" s="3">
        <v>10.0</v>
      </c>
      <c r="P6" s="3">
        <v>20.0</v>
      </c>
      <c r="Q6" s="3">
        <v>20.0</v>
      </c>
      <c r="R6" s="3">
        <v>20.0</v>
      </c>
      <c r="S6" s="3">
        <v>50.0</v>
      </c>
      <c r="T6" s="3">
        <v>52.0</v>
      </c>
      <c r="U6" s="3">
        <v>52.0</v>
      </c>
      <c r="V6" s="3">
        <v>58.0</v>
      </c>
      <c r="W6" s="3">
        <v>20.0</v>
      </c>
      <c r="X6" s="3">
        <v>43.0</v>
      </c>
      <c r="Y6" s="3">
        <v>42.0</v>
      </c>
      <c r="Z6" s="3">
        <v>46.0</v>
      </c>
      <c r="AA6" s="4" t="str">
        <f>TEXT("5267298155414536216","0")</f>
        <v>5267298155414536216</v>
      </c>
      <c r="AB6" s="5" t="str">
        <f>HYPERLINK("https://www.jotform.com/edit/5267298155414536216","Edit Submission")</f>
        <v>Edit Submission</v>
      </c>
    </row>
    <row r="7">
      <c r="A7" s="2">
        <v>44700.37204861111</v>
      </c>
      <c r="B7" s="3" t="s">
        <v>55</v>
      </c>
      <c r="S7" s="3">
        <v>92.0</v>
      </c>
      <c r="T7" s="3">
        <v>98.0</v>
      </c>
      <c r="U7" s="3">
        <v>93.0</v>
      </c>
      <c r="V7" s="3">
        <v>92.0</v>
      </c>
      <c r="AA7" s="4" t="str">
        <f>TEXT("5287849456712913415","0")</f>
        <v>5287849456712913415</v>
      </c>
      <c r="AB7" s="5" t="str">
        <f>HYPERLINK("https://www.jotform.com/edit/5287849456712913415","Edit Submission")</f>
        <v>Edit Submission</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88"/>
    <col customWidth="1" min="2" max="2" width="10.38"/>
    <col customWidth="1" min="3" max="3" width="14.25"/>
    <col customWidth="1" min="4" max="4" width="12.88"/>
    <col customWidth="1" min="5" max="5" width="10.0"/>
    <col customWidth="1" min="6" max="6" width="15.13"/>
    <col customWidth="1" min="7" max="7" width="13.75"/>
    <col customWidth="1" min="10" max="10" width="13.88"/>
    <col customWidth="1" min="11" max="12" width="15.5"/>
    <col customWidth="1" min="16" max="16" width="16.13"/>
    <col customWidth="1" min="17" max="17" width="16.0"/>
  </cols>
  <sheetData>
    <row r="1">
      <c r="A1" s="3" t="s">
        <v>18</v>
      </c>
      <c r="B1" s="3">
        <f>Settingsform!D3</f>
        <v>0.02</v>
      </c>
    </row>
    <row r="2">
      <c r="A2" s="3" t="s">
        <v>56</v>
      </c>
      <c r="B2" s="3">
        <f>Settingsform!K3</f>
        <v>0.07</v>
      </c>
    </row>
    <row r="3">
      <c r="A3" s="3" t="s">
        <v>57</v>
      </c>
      <c r="B3" s="3">
        <f>Settingsform!L3</f>
        <v>0.1</v>
      </c>
    </row>
    <row r="4">
      <c r="A4" s="3" t="s">
        <v>58</v>
      </c>
      <c r="B4" s="3">
        <f>Settingsform!I3</f>
        <v>0.3</v>
      </c>
    </row>
    <row r="5">
      <c r="A5" s="3" t="s">
        <v>59</v>
      </c>
      <c r="B5" s="3">
        <f>Settingsform!J3</f>
        <v>0.95</v>
      </c>
    </row>
    <row r="9">
      <c r="A9" s="3" t="s">
        <v>2</v>
      </c>
      <c r="B9" s="3" t="s">
        <v>60</v>
      </c>
      <c r="C9" s="6" t="s">
        <v>61</v>
      </c>
      <c r="D9" s="6" t="s">
        <v>62</v>
      </c>
      <c r="E9" s="6" t="s">
        <v>63</v>
      </c>
      <c r="F9" s="6" t="s">
        <v>64</v>
      </c>
      <c r="G9" s="6" t="s">
        <v>65</v>
      </c>
      <c r="H9" s="7" t="s">
        <v>66</v>
      </c>
      <c r="I9" s="7" t="s">
        <v>67</v>
      </c>
      <c r="J9" s="7" t="s">
        <v>68</v>
      </c>
      <c r="K9" s="7" t="s">
        <v>69</v>
      </c>
      <c r="L9" s="7" t="s">
        <v>70</v>
      </c>
      <c r="M9" s="8" t="s">
        <v>71</v>
      </c>
      <c r="N9" s="8" t="s">
        <v>72</v>
      </c>
      <c r="O9" s="8" t="s">
        <v>73</v>
      </c>
      <c r="P9" s="8" t="s">
        <v>74</v>
      </c>
      <c r="Q9" s="8" t="s">
        <v>75</v>
      </c>
    </row>
    <row r="10">
      <c r="A10" s="3">
        <v>2005.0</v>
      </c>
      <c r="B10" s="3">
        <f>Settingsform!C3</f>
        <v>260000</v>
      </c>
      <c r="C10" s="9">
        <f t="shared" ref="C10:C12" si="1">sum(D10:G10)</f>
        <v>0.2461538462</v>
      </c>
      <c r="D10" s="9">
        <f>Settingsform!E3/B10</f>
        <v>0.07692307692</v>
      </c>
      <c r="E10" s="9">
        <f>Settingsform!F3/B10</f>
        <v>0.1</v>
      </c>
      <c r="F10" s="9">
        <f>Settingsform!G3/B10</f>
        <v>0.01923076923</v>
      </c>
      <c r="G10" s="9">
        <f>Settingsform!H3/B10</f>
        <v>0.05</v>
      </c>
      <c r="H10" s="10">
        <f t="shared" ref="H10:H12" si="3">sum(I10:L10)</f>
        <v>0.2461538462</v>
      </c>
      <c r="I10" s="10">
        <f t="array" ref="I10:L10">D10:G10</f>
        <v>0.07692307692</v>
      </c>
      <c r="J10" s="10">
        <v>0.1</v>
      </c>
      <c r="K10" s="10">
        <v>0.019230769230769232</v>
      </c>
      <c r="L10" s="10">
        <v>0.05</v>
      </c>
      <c r="M10" s="11">
        <f t="shared" ref="M10:M12" si="5">sum(N10:Q10)</f>
        <v>0.2461538462</v>
      </c>
      <c r="N10" s="11">
        <f t="array" ref="N10:Q10">D10:G10</f>
        <v>0.07692307692</v>
      </c>
      <c r="O10" s="11">
        <v>0.1</v>
      </c>
      <c r="P10" s="11">
        <v>0.019230769230769232</v>
      </c>
      <c r="Q10" s="11">
        <v>0.05</v>
      </c>
    </row>
    <row r="11">
      <c r="A11" s="3">
        <v>2030.0</v>
      </c>
      <c r="B11" s="12">
        <f>B10*((1+B1)^(A11-A10))</f>
        <v>426557.5586</v>
      </c>
      <c r="C11" s="9">
        <f t="shared" si="1"/>
        <v>0.2633846154</v>
      </c>
      <c r="D11" s="9">
        <f t="shared" ref="D11:G11" si="2">D10*(1+$B$2)</f>
        <v>0.08230769231</v>
      </c>
      <c r="E11" s="9">
        <f t="shared" si="2"/>
        <v>0.107</v>
      </c>
      <c r="F11" s="9">
        <f t="shared" si="2"/>
        <v>0.02057692308</v>
      </c>
      <c r="G11" s="9">
        <f t="shared" si="2"/>
        <v>0.0535</v>
      </c>
      <c r="H11" s="10">
        <f t="shared" si="3"/>
        <v>0.1723076923</v>
      </c>
      <c r="I11" s="10">
        <f t="shared" ref="I11:L11" si="4">I10-(I10*$B$4)</f>
        <v>0.05384615385</v>
      </c>
      <c r="J11" s="10">
        <f t="shared" si="4"/>
        <v>0.07</v>
      </c>
      <c r="K11" s="10">
        <f t="shared" si="4"/>
        <v>0.01346153846</v>
      </c>
      <c r="L11" s="10">
        <f t="shared" si="4"/>
        <v>0.035</v>
      </c>
      <c r="M11" s="11">
        <f t="shared" si="5"/>
        <v>0.1809156658</v>
      </c>
      <c r="N11" s="11">
        <f>ActionIndicators!E3</f>
        <v>0.06296538462</v>
      </c>
      <c r="O11" s="11">
        <f>ActionIndicators!E6</f>
        <v>0.067026512</v>
      </c>
      <c r="P11" s="11">
        <f>ActionIndicators!E7</f>
        <v>0.002024769231</v>
      </c>
      <c r="Q11" s="11">
        <f>ActionIndicators!E8</f>
        <v>0.048899</v>
      </c>
    </row>
    <row r="12">
      <c r="A12" s="3">
        <v>2050.0</v>
      </c>
      <c r="B12" s="12">
        <f>B10*((1+B1)^(A12-A10))</f>
        <v>633842.0934</v>
      </c>
      <c r="C12" s="9">
        <f t="shared" si="1"/>
        <v>0.2707692308</v>
      </c>
      <c r="D12" s="9">
        <f t="shared" ref="D12:G12" si="6">D10*(1+$B$3)</f>
        <v>0.08461538462</v>
      </c>
      <c r="E12" s="9">
        <f t="shared" si="6"/>
        <v>0.11</v>
      </c>
      <c r="F12" s="9">
        <f t="shared" si="6"/>
        <v>0.02115384615</v>
      </c>
      <c r="G12" s="9">
        <f t="shared" si="6"/>
        <v>0.055</v>
      </c>
      <c r="H12" s="10">
        <f t="shared" si="3"/>
        <v>0.01230769231</v>
      </c>
      <c r="I12" s="10">
        <f t="shared" ref="I12:L12" si="7">I10-(I10*$B$5)</f>
        <v>0.003846153846</v>
      </c>
      <c r="J12" s="10">
        <f t="shared" si="7"/>
        <v>0.005</v>
      </c>
      <c r="K12" s="10">
        <f t="shared" si="7"/>
        <v>0.0009615384615</v>
      </c>
      <c r="L12" s="10">
        <f t="shared" si="7"/>
        <v>0.0025</v>
      </c>
      <c r="M12" s="11">
        <f t="shared" si="5"/>
        <v>0.1273668135</v>
      </c>
      <c r="N12" s="11">
        <f>ActionIndicators!I3</f>
        <v>0.04161384615</v>
      </c>
      <c r="O12" s="11">
        <f>ActionIndicators!I6</f>
        <v>0.038324352</v>
      </c>
      <c r="P12" s="11">
        <f>ActionIndicators!I7</f>
        <v>0.003054615385</v>
      </c>
      <c r="Q12" s="11">
        <f>ActionIndicators!I8</f>
        <v>0.044374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4.13"/>
    <col customWidth="1" min="2" max="2" width="12.63"/>
    <col customWidth="1" min="3" max="3" width="18.5"/>
    <col customWidth="1" min="4" max="4" width="16.38"/>
    <col customWidth="1" min="5" max="5" width="13.38"/>
    <col customWidth="1" min="6" max="6" width="15.88"/>
    <col customWidth="1" min="7" max="7" width="18.5"/>
    <col customWidth="1" min="8" max="8" width="24.75"/>
    <col customWidth="1" min="9" max="9" width="8.75"/>
    <col customWidth="1" min="10" max="10" width="4.0"/>
  </cols>
  <sheetData>
    <row r="2">
      <c r="A2" s="3" t="s">
        <v>76</v>
      </c>
      <c r="B2" s="3" t="s">
        <v>77</v>
      </c>
      <c r="C2" s="3" t="s">
        <v>78</v>
      </c>
      <c r="D2" s="3" t="s">
        <v>79</v>
      </c>
      <c r="E2" s="3" t="s">
        <v>80</v>
      </c>
      <c r="F2" s="3" t="s">
        <v>81</v>
      </c>
      <c r="G2" s="3" t="s">
        <v>82</v>
      </c>
      <c r="H2" s="3" t="s">
        <v>83</v>
      </c>
      <c r="I2" s="3" t="s">
        <v>84</v>
      </c>
      <c r="L2" s="13" t="s">
        <v>85</v>
      </c>
      <c r="M2" s="14" t="str">
        <f>IFERROR(__xludf.DUMMYFUNCTION("(INDEX( FILTER(ActionForm!AA1:AA1001 , NOT( ISBLANK(ActionForm!AA1:AA1001 ) ) ) , ROWS( FILTER(ActionForm!AA1:AA1001 , NOT( ISBLANK(ActionForm!AA1:AA1001 ) ) ) ) ))"),"5287849456712913415")</f>
        <v>5287849456712913415</v>
      </c>
    </row>
    <row r="3">
      <c r="A3" s="3" t="s">
        <v>86</v>
      </c>
      <c r="B3" s="4">
        <f>IFERROR(__xludf.DUMMYFUNCTION("(INDEX( FILTER(ActionForm!C1:C1001 , NOT( ISBLANK(ActionForm!C1:C1001 ) ) ) , ROWS( FILTER(ActionForm!C1:C1001 , NOT( ISBLANK(ActionForm!C1:C1001 ) ) ) ) ))/100"),0.5)</f>
        <v>0.5</v>
      </c>
      <c r="C3" s="4">
        <f>IFERROR(__xludf.DUMMYFUNCTION("(INDEX( FILTER(ActionForm!D1:D1001 , NOT( ISBLANK(ActionForm!D1:D1001 ) ) ) , ROWS( FILTER(ActionForm!D1:D1001 , NOT( ISBLANK(ActionForm!D1:D1001 ) ) ) ) ))/100"),0.47)</f>
        <v>0.47</v>
      </c>
      <c r="D3" s="4">
        <f>(B3*C3)*Indicators!D11</f>
        <v>0.01934230769</v>
      </c>
      <c r="E3" s="15">
        <f>Indicators!D11-D3</f>
        <v>0.06296538462</v>
      </c>
      <c r="F3" s="4">
        <f>IFERROR(__xludf.DUMMYFUNCTION("(INDEX( FILTER(ActionForm!E1:E1001 , NOT( ISBLANK(ActionForm!E1:E1001 ) ) ) , ROWS( FILTER(ActionForm!E1:E1001 , NOT( ISBLANK(ActionForm!E1:E1001 ) ) ) ) ))/100"),0.66)</f>
        <v>0.66</v>
      </c>
      <c r="G3" s="4">
        <f>IFERROR(__xludf.DUMMYFUNCTION("(INDEX( FILTER(ActionForm!F1:F1001 , NOT( ISBLANK(ActionForm!F1:F1001 ) ) ) , ROWS( FILTER(ActionForm!F1:F1001 , NOT( ISBLANK(ActionForm!F1:F1001 ) ) ) ) ))/100"),0.77)</f>
        <v>0.77</v>
      </c>
      <c r="H3" s="4">
        <f>(F3*G3)*Indicators!D12</f>
        <v>0.04300153846</v>
      </c>
      <c r="I3" s="16">
        <f>Indicators!D12-H3</f>
        <v>0.04161384615</v>
      </c>
    </row>
    <row r="4">
      <c r="A4" s="3" t="s">
        <v>87</v>
      </c>
      <c r="B4" s="14">
        <f>IFERROR(__xludf.DUMMYFUNCTION("(INDEX( FILTER(ActionForm!G1:G1001 , NOT( ISBLANK(ActionForm!G1:G1001 ) ) ) , ROWS( FILTER(ActionForm!G1:G1001 , NOT( ISBLANK(ActionForm!G1:G1001 ) ) ) ) ))/100"),0.4)</f>
        <v>0.4</v>
      </c>
      <c r="C4" s="14">
        <f>IFERROR(__xludf.DUMMYFUNCTION("(INDEX( FILTER(ActionForm!H1:H1001 , NOT( ISBLANK(ActionForm!H1:H1001 ) ) ) , ROWS( FILTER(ActionForm!H1:H1001 , NOT( ISBLANK(ActionForm!H1:H1001 ) ) ) ) ))/100"),0.8)</f>
        <v>0.8</v>
      </c>
      <c r="D4" s="4">
        <f>(B4*C4)*Indicators!E11</f>
        <v>0.03424</v>
      </c>
      <c r="E4" s="17">
        <f>Indicators!E11-D4</f>
        <v>0.07276</v>
      </c>
      <c r="F4" s="14">
        <f>IFERROR(__xludf.DUMMYFUNCTION("(INDEX( FILTER(ActionForm!I1:I1001 , NOT( ISBLANK(ActionForm!I1:I1001 ) ) ) , ROWS( FILTER(ActionForm!I1:I1001 , NOT( ISBLANK(ActionForm!I1:I1001 ) ) ) ) ))/100"),0.68)</f>
        <v>0.68</v>
      </c>
      <c r="G4" s="14">
        <f>IFERROR(__xludf.DUMMYFUNCTION("(INDEX( FILTER(ActionForm!J1:J1001 , NOT( ISBLANK(ActionForm!J1:J1001 ) ) ) , ROWS( FILTER(ActionForm!J1:J1001 , NOT( ISBLANK(ActionForm!J1:J1001 ) ) ) ) ))/100"),0.85)</f>
        <v>0.85</v>
      </c>
      <c r="H4" s="4">
        <f>(F4*G4)*Indicators!E12</f>
        <v>0.06358</v>
      </c>
      <c r="I4" s="16">
        <f>Indicators!E12-H4</f>
        <v>0.04642</v>
      </c>
    </row>
    <row r="5">
      <c r="A5" s="3" t="s">
        <v>88</v>
      </c>
      <c r="B5" s="4">
        <f>IFERROR(__xludf.DUMMYFUNCTION("(INDEX( FILTER(ActionForm!K1:K1001 , NOT( ISBLANK(ActionForm!K1:K1001 ) ) ) , ROWS( FILTER(ActionForm!K1:K1001 , NOT( ISBLANK(ActionForm!K1:K1001 ) ) ) ) ))/100"),0.1)</f>
        <v>0.1</v>
      </c>
      <c r="C5" s="4">
        <f>IFERROR(__xludf.DUMMYFUNCTION("(INDEX( FILTER(ActionForm!L1:L1001 , NOT( ISBLANK(ActionForm!L1:L1001 ) ) ) , ROWS( FILTER(ActionForm!L1:L1001 , NOT( ISBLANK(ActionForm!L1:L1001 ) ) ) ) ))/100"),0.6)</f>
        <v>0.6</v>
      </c>
      <c r="D5" s="4">
        <f t="shared" ref="D5:D6" si="1">(B5*C5)*E4</f>
        <v>0.0043656</v>
      </c>
      <c r="E5" s="17">
        <f t="shared" ref="E5:E6" si="2">E4-D5</f>
        <v>0.0683944</v>
      </c>
      <c r="F5" s="14">
        <f>IFERROR(__xludf.DUMMYFUNCTION("(INDEX( FILTER(ActionForm!M1:M1001 , NOT( ISBLANK(ActionForm!M1:M1001 ) ) ) , ROWS( FILTER(ActionForm!M1:M1001 , NOT( ISBLANK(ActionForm!M1:M1001 ) ) ) ) ))/100"),0.2)</f>
        <v>0.2</v>
      </c>
      <c r="G5" s="14">
        <f>IFERROR(__xludf.DUMMYFUNCTION("(INDEX( FILTER(ActionForm!N1:N1001 , NOT( ISBLANK(ActionForm!N1:N1001 ) ) ) , ROWS( FILTER(ActionForm!N1:N1001 , NOT( ISBLANK(ActionForm!N1:N1001 ) ) ) ) ))/100"),0.7)</f>
        <v>0.7</v>
      </c>
      <c r="H5" s="4">
        <f t="shared" ref="H5:H6" si="3">(F5*G5)*I4</f>
        <v>0.0064988</v>
      </c>
      <c r="I5" s="18">
        <f t="shared" ref="I5:I6" si="4">I4-H5</f>
        <v>0.0399212</v>
      </c>
    </row>
    <row r="6">
      <c r="A6" s="3" t="s">
        <v>89</v>
      </c>
      <c r="B6" s="4">
        <f>IFERROR(__xludf.DUMMYFUNCTION("(INDEX( FILTER(ActionForm!O1:O1001 , NOT( ISBLANK(ActionForm!O1:O1001 ) ) ) , ROWS( FILTER(ActionForm!O1:O1001 , NOT( ISBLANK(ActionForm!O1:O1001 ) ) ) ) ))/100"),0.1)</f>
        <v>0.1</v>
      </c>
      <c r="C6" s="4">
        <f>IFERROR(__xludf.DUMMYFUNCTION("(INDEX( FILTER(ActionForm!P1:P1001 , NOT( ISBLANK(ActionForm!P1:P1001 ) ) ) , ROWS( FILTER(ActionForm!P1:P1001 , NOT( ISBLANK(ActionForm!P1:P1001 ) ) ) ) ))/100"),0.2)</f>
        <v>0.2</v>
      </c>
      <c r="D6" s="4">
        <f t="shared" si="1"/>
        <v>0.001367888</v>
      </c>
      <c r="E6" s="15">
        <f t="shared" si="2"/>
        <v>0.067026512</v>
      </c>
      <c r="F6" s="4">
        <f>IFERROR(__xludf.DUMMYFUNCTION("(INDEX( FILTER(ActionForm!Q1:Q1001 , NOT( ISBLANK(ActionForm!Q1:Q1001 ) ) ) , ROWS( FILTER(ActionForm!Q1:Q1001 , NOT( ISBLANK(ActionForm!Q1:Q1001 ) ) ) ) ))/100"),0.2)</f>
        <v>0.2</v>
      </c>
      <c r="G6" s="4">
        <f>IFERROR(__xludf.DUMMYFUNCTION("(INDEX( FILTER(ActionForm!R1:R1001 , NOT( ISBLANK(ActionForm!R1:R1001 ) ) ) , ROWS( FILTER(ActionForm!R1:R1001 , NOT( ISBLANK(ActionForm!R1:R1001 ) ) ) ) ))/100"),0.2)</f>
        <v>0.2</v>
      </c>
      <c r="H6" s="4">
        <f t="shared" si="3"/>
        <v>0.001596848</v>
      </c>
      <c r="I6" s="18">
        <f t="shared" si="4"/>
        <v>0.038324352</v>
      </c>
    </row>
    <row r="7">
      <c r="A7" s="3" t="s">
        <v>90</v>
      </c>
      <c r="B7" s="4">
        <f>IFERROR(__xludf.DUMMYFUNCTION("(INDEX( FILTER(ActionForm!S1:S1001 , NOT( ISBLANK(ActionForm!S1:S1001 ) ) ) , ROWS( FILTER(ActionForm!S1:S1001 , NOT( ISBLANK(ActionForm!S1:S1001 ) ) ) ) ))/100"),0.92)</f>
        <v>0.92</v>
      </c>
      <c r="C7" s="4">
        <f>IFERROR(__xludf.DUMMYFUNCTION("(INDEX( FILTER(ActionForm!T1:T1001 , NOT( ISBLANK(ActionForm!T1:T1001 ) ) ) , ROWS( FILTER(ActionForm!T1:T1001 , NOT( ISBLANK(ActionForm!T1:T1001 ) ) ) ) ))/100"),0.98)</f>
        <v>0.98</v>
      </c>
      <c r="D7" s="19">
        <f>(B7*C7)*Indicators!F11</f>
        <v>0.01855215385</v>
      </c>
      <c r="E7" s="17">
        <f>Indicators!F11-D7</f>
        <v>0.002024769231</v>
      </c>
      <c r="F7" s="4">
        <f>IFERROR(__xludf.DUMMYFUNCTION("(INDEX( FILTER(ActionForm!U1:U1001 , NOT( ISBLANK(ActionForm!U1:U1001 ) ) ) , ROWS( FILTER(ActionForm!U1:U1001 , NOT( ISBLANK(ActionForm!U1:U1001 ) ) ) ) ))/100"),0.93)</f>
        <v>0.93</v>
      </c>
      <c r="G7" s="4">
        <f>IFERROR(__xludf.DUMMYFUNCTION("(INDEX( FILTER(ActionForm!V1:V1001 , NOT( ISBLANK(ActionForm!V1:V1001 ) ) ) , ROWS( FILTER(ActionForm!V1:V1001 , NOT( ISBLANK(ActionForm!V1:V1001 ) ) ) ) ))/100"),0.92)</f>
        <v>0.92</v>
      </c>
      <c r="H7" s="19">
        <f>(F7*G7)*Indicators!F12</f>
        <v>0.01809923077</v>
      </c>
      <c r="I7" s="20">
        <f>Indicators!F12-H7</f>
        <v>0.003054615385</v>
      </c>
    </row>
    <row r="8">
      <c r="A8" s="3" t="s">
        <v>91</v>
      </c>
      <c r="B8" s="4">
        <f>IFERROR(__xludf.DUMMYFUNCTION("(INDEX( FILTER(ActionForm!W1:W1001 , NOT( ISBLANK(ActionForm!W1:W1001 ) ) ) , ROWS( FILTER(ActionForm!W1:W1001 , NOT( ISBLANK(ActionForm!W1:W1001 ) ) ) ) ))/100"),0.2)</f>
        <v>0.2</v>
      </c>
      <c r="C8" s="4">
        <f>IFERROR(__xludf.DUMMYFUNCTION("(INDEX( FILTER(ActionForm!X1:X1001 , NOT( ISBLANK(ActionForm!X1:X1001 ) ) ) , ROWS( FILTER(ActionForm!X1:X1001 , NOT( ISBLANK(ActionForm!X1:X1001 ) ) ) ) ))/100"),0.43)</f>
        <v>0.43</v>
      </c>
      <c r="D8" s="19">
        <f>(B8*C8)*Indicators!G11</f>
        <v>0.004601</v>
      </c>
      <c r="E8" s="17">
        <f>Indicators!G11-D8</f>
        <v>0.048899</v>
      </c>
      <c r="F8" s="4">
        <f>IFERROR(__xludf.DUMMYFUNCTION("(INDEX( FILTER(ActionForm!Y1:Y1001 , NOT( ISBLANK(ActionForm!Y1:Y1001 ) ) ) , ROWS( FILTER(ActionForm!Y1:Y1001 , NOT( ISBLANK(ActionForm!Y1:Y1001 ) ) ) ) ))/100"),0.42)</f>
        <v>0.42</v>
      </c>
      <c r="G8" s="4">
        <f>IFERROR(__xludf.DUMMYFUNCTION("(INDEX( FILTER(ActionForm!Z1:Z1001 , NOT( ISBLANK(ActionForm!Z1:Z1001 ) ) ) , ROWS( FILTER(ActionForm!Z1:Z1001 , NOT( ISBLANK(ActionForm!Z1:Z1001 ) ) ) ) ))/100"),0.46)</f>
        <v>0.46</v>
      </c>
      <c r="H8" s="19">
        <f>(F8*G8)*Indicators!G12</f>
        <v>0.010626</v>
      </c>
      <c r="I8" s="17">
        <f>Indicators!G12-H8</f>
        <v>0.044374</v>
      </c>
    </row>
    <row r="12" ht="9.75" customHeight="1"/>
    <row r="13" ht="43.5" customHeight="1">
      <c r="A13" s="21" t="s">
        <v>92</v>
      </c>
      <c r="B13" s="22"/>
      <c r="C13" s="22"/>
      <c r="D13" s="22"/>
      <c r="E13" s="22"/>
      <c r="F13" s="22"/>
      <c r="G13" s="22"/>
      <c r="H13" s="23"/>
      <c r="I13" s="24"/>
    </row>
    <row r="14" ht="42.0" customHeight="1">
      <c r="A14" s="25" t="s">
        <v>93</v>
      </c>
      <c r="B14" s="26" t="str">
        <f>IFERROR(__xludf.DUMMYFUNCTION("(INDEX( FILTER(ActionForm!B1:B1001 , NOT( ISBLANK(ActionForm!B1:B1001 ) ) ) , ROWS( FILTER(ActionForm!B1:B1001 , NOT( ISBLANK(ActionForm!B1:B1001 ) ) ) ) ))"),"June Demo")</f>
        <v>June Demo</v>
      </c>
      <c r="E14" s="27"/>
      <c r="H14" s="28"/>
      <c r="I14" s="29" t="str">
        <f>HYPERLINK(CONCATENATE("https://www.jotform.com/edit/",M2),"Edit")</f>
        <v>Edit</v>
      </c>
      <c r="J14" s="30"/>
    </row>
    <row r="15" ht="25.5" customHeight="1">
      <c r="A15" s="31" t="s">
        <v>94</v>
      </c>
      <c r="B15" s="32"/>
      <c r="C15" s="31" t="s">
        <v>94</v>
      </c>
      <c r="D15" s="32"/>
      <c r="E15" s="33" t="s">
        <v>95</v>
      </c>
      <c r="F15" s="34"/>
      <c r="G15" s="22"/>
      <c r="H15" s="35" t="s">
        <v>96</v>
      </c>
      <c r="I15" s="34"/>
      <c r="J15" s="30"/>
    </row>
    <row r="16">
      <c r="A16" s="36" t="str">
        <f>CONCATENATE(C68, " TCO2e")</f>
        <v>35178 TCO2e</v>
      </c>
      <c r="B16" s="37"/>
      <c r="C16" s="36">
        <f>(Indicators!C11-Indicators!M11)*Indicators!B11</f>
        <v>35177.75377</v>
      </c>
      <c r="D16" s="37" t="s">
        <v>97</v>
      </c>
      <c r="E16" s="36">
        <f>(Indicators!C12-Indicators!M12)*Indicators!B12</f>
        <v>90894.48833</v>
      </c>
      <c r="F16" s="37" t="s">
        <v>97</v>
      </c>
      <c r="G16" s="22"/>
      <c r="H16" s="38">
        <f>170*C16</f>
        <v>5980218.141</v>
      </c>
      <c r="I16" s="34"/>
      <c r="J16" s="30"/>
    </row>
    <row r="17">
      <c r="A17" s="39"/>
      <c r="B17" s="39"/>
      <c r="C17" s="39"/>
      <c r="D17" s="39"/>
      <c r="E17" s="39"/>
      <c r="F17" s="39"/>
      <c r="G17" s="39"/>
      <c r="H17" s="39"/>
      <c r="I17" s="39"/>
      <c r="J17" s="39"/>
    </row>
    <row r="18">
      <c r="A18" s="39"/>
      <c r="B18" s="39"/>
      <c r="C18" s="39"/>
      <c r="D18" s="39"/>
      <c r="E18" s="39"/>
      <c r="F18" s="39"/>
      <c r="G18" s="39"/>
      <c r="H18" s="39"/>
      <c r="I18" s="39"/>
      <c r="J18" s="39"/>
    </row>
    <row r="19">
      <c r="A19" s="39"/>
      <c r="B19" s="39"/>
      <c r="C19" s="39"/>
      <c r="D19" s="39"/>
      <c r="E19" s="39"/>
      <c r="F19" s="39"/>
      <c r="G19" s="39"/>
      <c r="H19" s="39"/>
      <c r="I19" s="39"/>
      <c r="J19" s="39"/>
    </row>
    <row r="20">
      <c r="A20" s="39"/>
      <c r="B20" s="39"/>
      <c r="C20" s="39"/>
      <c r="D20" s="39"/>
      <c r="E20" s="39"/>
      <c r="F20" s="39"/>
      <c r="G20" s="39"/>
      <c r="H20" s="39"/>
      <c r="I20" s="39"/>
      <c r="J20" s="39"/>
    </row>
    <row r="21">
      <c r="A21" s="39"/>
      <c r="B21" s="39"/>
      <c r="C21" s="39"/>
      <c r="D21" s="39"/>
      <c r="E21" s="39"/>
      <c r="F21" s="39"/>
      <c r="G21" s="39"/>
      <c r="H21" s="39"/>
      <c r="I21" s="39"/>
      <c r="J21" s="39"/>
    </row>
    <row r="22">
      <c r="A22" s="39"/>
      <c r="B22" s="39"/>
      <c r="C22" s="39"/>
      <c r="D22" s="39"/>
      <c r="E22" s="39"/>
      <c r="F22" s="39"/>
      <c r="G22" s="39"/>
      <c r="H22" s="39"/>
      <c r="I22" s="39"/>
      <c r="J22" s="39"/>
    </row>
    <row r="23">
      <c r="A23" s="39"/>
      <c r="B23" s="39"/>
      <c r="C23" s="39"/>
      <c r="D23" s="39"/>
      <c r="E23" s="39"/>
      <c r="F23" s="39"/>
      <c r="G23" s="39"/>
      <c r="H23" s="39"/>
      <c r="I23" s="39"/>
      <c r="J23" s="39"/>
    </row>
    <row r="24">
      <c r="A24" s="39"/>
      <c r="B24" s="39"/>
      <c r="C24" s="39"/>
      <c r="D24" s="39"/>
      <c r="E24" s="39"/>
      <c r="F24" s="39"/>
      <c r="G24" s="39"/>
      <c r="H24" s="39"/>
      <c r="I24" s="39"/>
      <c r="J24" s="39"/>
    </row>
    <row r="25">
      <c r="A25" s="39"/>
      <c r="B25" s="39"/>
      <c r="C25" s="39"/>
      <c r="D25" s="39"/>
      <c r="E25" s="39"/>
      <c r="F25" s="39"/>
      <c r="G25" s="39"/>
      <c r="H25" s="39"/>
      <c r="I25" s="39"/>
      <c r="J25" s="39"/>
    </row>
    <row r="26">
      <c r="A26" s="39"/>
      <c r="B26" s="39"/>
      <c r="C26" s="39"/>
      <c r="D26" s="39"/>
      <c r="E26" s="39"/>
      <c r="F26" s="39"/>
      <c r="G26" s="39"/>
      <c r="H26" s="39"/>
      <c r="I26" s="39"/>
      <c r="J26" s="39"/>
    </row>
    <row r="27">
      <c r="A27" s="39"/>
      <c r="B27" s="39"/>
      <c r="C27" s="39"/>
      <c r="D27" s="39"/>
      <c r="E27" s="39"/>
      <c r="F27" s="39"/>
      <c r="G27" s="39"/>
      <c r="H27" s="39"/>
      <c r="I27" s="39"/>
      <c r="J27" s="39"/>
    </row>
    <row r="28">
      <c r="A28" s="39"/>
      <c r="B28" s="39"/>
      <c r="C28" s="39"/>
      <c r="D28" s="39"/>
      <c r="E28" s="39"/>
      <c r="F28" s="39"/>
      <c r="G28" s="39"/>
      <c r="H28" s="39"/>
      <c r="I28" s="39"/>
      <c r="J28" s="39"/>
    </row>
    <row r="29">
      <c r="A29" s="39"/>
      <c r="B29" s="39"/>
      <c r="C29" s="39"/>
      <c r="D29" s="39"/>
      <c r="E29" s="39"/>
      <c r="F29" s="39"/>
      <c r="G29" s="39"/>
      <c r="H29" s="39"/>
      <c r="I29" s="39"/>
      <c r="J29" s="39"/>
    </row>
    <row r="30">
      <c r="A30" s="39"/>
      <c r="B30" s="39"/>
      <c r="C30" s="39"/>
      <c r="D30" s="39"/>
      <c r="E30" s="39"/>
      <c r="F30" s="39"/>
      <c r="G30" s="39"/>
      <c r="H30" s="39"/>
      <c r="I30" s="39"/>
      <c r="J30" s="39"/>
    </row>
    <row r="31">
      <c r="A31" s="39"/>
      <c r="B31" s="39"/>
      <c r="C31" s="39"/>
      <c r="D31" s="39"/>
      <c r="E31" s="39"/>
      <c r="F31" s="39"/>
      <c r="G31" s="39"/>
      <c r="H31" s="39"/>
      <c r="I31" s="39"/>
      <c r="J31" s="39"/>
    </row>
    <row r="32">
      <c r="A32" s="39"/>
      <c r="B32" s="39"/>
      <c r="C32" s="39"/>
      <c r="D32" s="39"/>
      <c r="E32" s="39"/>
      <c r="F32" s="39"/>
      <c r="G32" s="39"/>
      <c r="H32" s="39"/>
      <c r="I32" s="39"/>
      <c r="J32" s="39"/>
    </row>
    <row r="33">
      <c r="A33" s="39"/>
      <c r="B33" s="39"/>
      <c r="C33" s="39"/>
      <c r="D33" s="39"/>
      <c r="E33" s="39"/>
      <c r="F33" s="39"/>
      <c r="G33" s="39"/>
      <c r="H33" s="39"/>
      <c r="I33" s="39"/>
      <c r="J33" s="39"/>
    </row>
    <row r="34">
      <c r="A34" s="39"/>
      <c r="B34" s="39"/>
      <c r="C34" s="39"/>
      <c r="D34" s="39"/>
      <c r="E34" s="39"/>
      <c r="F34" s="39"/>
      <c r="G34" s="39"/>
      <c r="H34" s="39"/>
      <c r="I34" s="39"/>
      <c r="J34" s="39"/>
    </row>
    <row r="35">
      <c r="A35" s="39"/>
      <c r="B35" s="39"/>
      <c r="C35" s="39"/>
      <c r="D35" s="39"/>
      <c r="E35" s="39"/>
      <c r="F35" s="39"/>
      <c r="G35" s="39"/>
      <c r="H35" s="39"/>
      <c r="I35" s="39"/>
      <c r="J35" s="39"/>
    </row>
    <row r="36">
      <c r="A36" s="39"/>
      <c r="B36" s="39"/>
      <c r="C36" s="39"/>
      <c r="D36" s="39"/>
      <c r="E36" s="39"/>
      <c r="F36" s="39"/>
      <c r="G36" s="39"/>
      <c r="H36" s="39"/>
      <c r="I36" s="39"/>
      <c r="J36" s="39"/>
    </row>
    <row r="37">
      <c r="A37" s="39"/>
      <c r="B37" s="39"/>
      <c r="C37" s="39"/>
      <c r="D37" s="39"/>
      <c r="E37" s="39"/>
      <c r="F37" s="39"/>
      <c r="G37" s="39"/>
      <c r="H37" s="39"/>
      <c r="I37" s="39"/>
      <c r="J37" s="39"/>
    </row>
    <row r="38">
      <c r="A38" s="39"/>
      <c r="B38" s="39"/>
      <c r="C38" s="39"/>
      <c r="D38" s="39"/>
      <c r="E38" s="39"/>
      <c r="F38" s="39"/>
      <c r="G38" s="39"/>
      <c r="H38" s="39"/>
      <c r="I38" s="39"/>
      <c r="J38" s="39"/>
    </row>
    <row r="39">
      <c r="A39" s="39"/>
      <c r="B39" s="39"/>
      <c r="C39" s="39"/>
      <c r="D39" s="39"/>
      <c r="E39" s="39"/>
      <c r="F39" s="39"/>
      <c r="G39" s="39"/>
      <c r="H39" s="39"/>
      <c r="I39" s="39"/>
      <c r="J39" s="39"/>
    </row>
    <row r="40">
      <c r="A40" s="39"/>
      <c r="B40" s="39"/>
      <c r="C40" s="39"/>
      <c r="D40" s="39"/>
      <c r="E40" s="39"/>
      <c r="F40" s="39"/>
      <c r="G40" s="39"/>
      <c r="H40" s="39"/>
      <c r="I40" s="39"/>
      <c r="J40" s="39"/>
    </row>
    <row r="41">
      <c r="A41" s="39"/>
      <c r="B41" s="39"/>
      <c r="C41" s="39"/>
      <c r="D41" s="39"/>
      <c r="E41" s="39"/>
      <c r="F41" s="39"/>
      <c r="G41" s="39"/>
      <c r="H41" s="39"/>
      <c r="I41" s="39"/>
      <c r="J41" s="39"/>
    </row>
    <row r="42">
      <c r="A42" s="39"/>
      <c r="B42" s="39"/>
      <c r="C42" s="39"/>
      <c r="D42" s="39"/>
      <c r="E42" s="39"/>
      <c r="F42" s="39"/>
      <c r="G42" s="39"/>
      <c r="H42" s="39"/>
      <c r="I42" s="39"/>
      <c r="J42" s="39"/>
    </row>
    <row r="43">
      <c r="A43" s="39"/>
      <c r="B43" s="39"/>
      <c r="C43" s="39"/>
      <c r="D43" s="39"/>
      <c r="E43" s="39"/>
      <c r="F43" s="39"/>
      <c r="G43" s="39"/>
      <c r="H43" s="39"/>
      <c r="I43" s="39"/>
      <c r="J43" s="39"/>
    </row>
    <row r="44">
      <c r="A44" s="39"/>
      <c r="B44" s="39"/>
      <c r="C44" s="39"/>
      <c r="D44" s="39"/>
      <c r="E44" s="39"/>
      <c r="F44" s="39"/>
      <c r="G44" s="39"/>
      <c r="H44" s="39"/>
      <c r="I44" s="39"/>
      <c r="J44" s="39"/>
    </row>
    <row r="45">
      <c r="A45" s="39"/>
      <c r="B45" s="39"/>
      <c r="C45" s="39"/>
      <c r="D45" s="39"/>
      <c r="E45" s="39"/>
      <c r="F45" s="39"/>
      <c r="G45" s="39"/>
      <c r="H45" s="39"/>
      <c r="I45" s="39"/>
      <c r="J45" s="39"/>
    </row>
    <row r="46">
      <c r="A46" s="39"/>
      <c r="B46" s="39"/>
      <c r="C46" s="39"/>
      <c r="D46" s="39"/>
      <c r="E46" s="39"/>
      <c r="F46" s="39"/>
      <c r="G46" s="39"/>
      <c r="H46" s="39"/>
      <c r="I46" s="39"/>
      <c r="J46" s="39"/>
    </row>
    <row r="47">
      <c r="A47" s="39"/>
      <c r="B47" s="39"/>
      <c r="C47" s="39"/>
      <c r="D47" s="39"/>
      <c r="E47" s="39"/>
      <c r="F47" s="39"/>
      <c r="G47" s="39"/>
      <c r="H47" s="39"/>
      <c r="I47" s="39"/>
      <c r="J47" s="39"/>
    </row>
    <row r="48">
      <c r="A48" s="39"/>
      <c r="B48" s="39"/>
      <c r="C48" s="39"/>
      <c r="D48" s="39"/>
      <c r="E48" s="39"/>
      <c r="F48" s="39"/>
      <c r="G48" s="39"/>
      <c r="H48" s="39"/>
      <c r="I48" s="39"/>
      <c r="J48" s="39"/>
    </row>
    <row r="49">
      <c r="A49" s="39"/>
      <c r="B49" s="39"/>
      <c r="C49" s="39"/>
      <c r="D49" s="39"/>
      <c r="E49" s="39"/>
      <c r="F49" s="39"/>
      <c r="G49" s="39"/>
      <c r="H49" s="39"/>
      <c r="I49" s="39"/>
      <c r="J49" s="39"/>
    </row>
    <row r="50">
      <c r="A50" s="39"/>
      <c r="B50" s="39"/>
      <c r="C50" s="39"/>
      <c r="D50" s="39"/>
      <c r="E50" s="39"/>
      <c r="F50" s="39"/>
      <c r="G50" s="39"/>
      <c r="H50" s="39"/>
      <c r="I50" s="39"/>
      <c r="J50" s="39"/>
    </row>
    <row r="51">
      <c r="A51" s="39"/>
      <c r="B51" s="39"/>
      <c r="C51" s="39"/>
      <c r="D51" s="39"/>
      <c r="E51" s="39"/>
      <c r="F51" s="39"/>
      <c r="G51" s="39"/>
      <c r="H51" s="39"/>
      <c r="I51" s="39"/>
      <c r="J51" s="39"/>
    </row>
    <row r="52">
      <c r="A52" s="39"/>
      <c r="B52" s="39"/>
      <c r="C52" s="39"/>
      <c r="D52" s="39"/>
      <c r="E52" s="39"/>
      <c r="F52" s="39"/>
      <c r="G52" s="39"/>
      <c r="H52" s="39"/>
      <c r="I52" s="39"/>
      <c r="J52" s="39"/>
    </row>
    <row r="53">
      <c r="A53" s="39"/>
      <c r="B53" s="39"/>
      <c r="C53" s="39"/>
      <c r="D53" s="39"/>
      <c r="E53" s="39"/>
      <c r="F53" s="39"/>
      <c r="G53" s="39"/>
      <c r="H53" s="39"/>
      <c r="I53" s="39"/>
      <c r="J53" s="39"/>
    </row>
    <row r="55">
      <c r="B55" s="3" t="s">
        <v>98</v>
      </c>
      <c r="C55" s="40"/>
      <c r="D55" s="3" t="s">
        <v>99</v>
      </c>
    </row>
    <row r="56">
      <c r="A56" s="41" t="s">
        <v>100</v>
      </c>
      <c r="B56" s="42">
        <f>'Times Series'!W27</f>
        <v>112348.6985</v>
      </c>
      <c r="D56" s="42">
        <f>'Times Series'!W47</f>
        <v>171624.9361</v>
      </c>
    </row>
    <row r="57">
      <c r="A57" s="41" t="s">
        <v>101</v>
      </c>
      <c r="B57" s="42">
        <f>'Times Series'!Y27</f>
        <v>77170.94473</v>
      </c>
      <c r="C57" s="4" t="str">
        <f>CONCATENATE(D62," target")</f>
        <v>90.55% target</v>
      </c>
      <c r="D57" s="42">
        <f>'Times Series'!Y47</f>
        <v>80730.44772</v>
      </c>
    </row>
    <row r="58">
      <c r="A58" s="41" t="s">
        <v>102</v>
      </c>
      <c r="B58" s="42">
        <f>'Times Series'!X27</f>
        <v>73499.14855</v>
      </c>
      <c r="D58" s="42">
        <f>'Times Series'!X47</f>
        <v>7801.133457</v>
      </c>
    </row>
    <row r="62">
      <c r="D62" s="4" t="str">
        <f>IFERROR(__xludf.DUMMYFUNCTION("TO_TEXT(B65)"),"90.55%")</f>
        <v>90.55%</v>
      </c>
    </row>
    <row r="65">
      <c r="B65" s="43">
        <f>'Times Series'!AB27</f>
        <v>0.905486777</v>
      </c>
    </row>
    <row r="68">
      <c r="A68" s="44">
        <f>(Indicators!C11-Indicators!M11)*Indicators!B11</f>
        <v>35177.75377</v>
      </c>
      <c r="C68" s="4" t="str">
        <f>IFERROR(__xludf.DUMMYFUNCTION("TO_TEXT(A68)"),"35178")</f>
        <v>35178</v>
      </c>
      <c r="D68" s="4" t="str">
        <f>CONCATENATE(C68, " TCO2e")</f>
        <v>35178 TCO2e</v>
      </c>
    </row>
  </sheetData>
  <mergeCells count="1">
    <mergeCell ref="B14:C14"/>
  </mergeCells>
  <hyperlinks>
    <hyperlink r:id="rId1" ref="L2"/>
  </hyperlinks>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21.25"/>
    <col customWidth="1" min="3" max="4" width="3.63"/>
    <col customWidth="1" min="5" max="5" width="22.38"/>
    <col customWidth="1" min="7" max="8" width="3.63"/>
    <col customWidth="1" min="9" max="9" width="24.38"/>
    <col customWidth="1" min="10" max="10" width="3.75"/>
    <col customWidth="1" min="11" max="11" width="7.63"/>
    <col customWidth="1" min="12" max="12" width="29.88"/>
    <col customWidth="1" min="18" max="18" width="14.63"/>
  </cols>
  <sheetData>
    <row r="2">
      <c r="M2" s="96" t="str">
        <f>IFERROR(__xludf.DUMMYFUNCTION("(INDEX( FILTER(ActionForm!AA1:AA1000 , NOT( ISBLANK(ActionForm!AA1:AA1000 ) ) ) , ROWS( FILTER(ActionForm!AA1:AA1000 , NOT( ISBLANK(ActionForm!AA1:AA1000 ) ) ) ) ))"),"5287849456712913415")</f>
        <v>5287849456712913415</v>
      </c>
      <c r="P2" s="42">
        <f>'Times Series'!AA27</f>
        <v>35177.75377</v>
      </c>
      <c r="Q2" s="4" t="str">
        <f>IFERROR(__xludf.DUMMYFUNCTION("TO_TEXT(P2)"),"35178")</f>
        <v>35178</v>
      </c>
      <c r="R2" s="4" t="str">
        <f>IFERROR(__xludf.DUMMYFUNCTION("CONCATENATE(TO_TEXT('Times Series'!AA27),"" TCO2e"")"),"35178 TCO2e")</f>
        <v>35178 TCO2e</v>
      </c>
    </row>
    <row r="7" ht="35.25" customHeight="1">
      <c r="A7" s="128" t="s">
        <v>92</v>
      </c>
      <c r="B7" s="34"/>
      <c r="C7" s="34"/>
      <c r="D7" s="34"/>
      <c r="E7" s="34"/>
      <c r="F7" s="34"/>
      <c r="G7" s="34"/>
      <c r="H7" s="34"/>
      <c r="I7" s="34"/>
      <c r="J7" s="34"/>
      <c r="K7" s="34"/>
      <c r="L7" s="129"/>
    </row>
    <row r="8" ht="30.75" customHeight="1">
      <c r="A8" s="130" t="s">
        <v>93</v>
      </c>
      <c r="B8" s="131" t="str">
        <f>IFERROR(__xludf.DUMMYFUNCTION("(INDEX( FILTER(ActionForm!B1:B1000 , NOT( ISBLANK(ActionForm!B1:B1000 ) ) ) , ROWS( FILTER(ActionForm!B1:B1000 , NOT( ISBLANK(ActionForm!B1:B1000 ) ) ) ) ))"),"June Demo")</f>
        <v>June Demo</v>
      </c>
      <c r="C8" s="132"/>
      <c r="D8" s="132"/>
      <c r="E8" s="133"/>
      <c r="F8" s="132"/>
      <c r="G8" s="132"/>
      <c r="H8" s="132"/>
      <c r="I8" s="132"/>
      <c r="J8" s="132"/>
      <c r="K8" s="132"/>
      <c r="L8" s="134" t="str">
        <f>HYPERLINK(CONCATENATE("https://www.jotform.com/edit/",M2),"Edit")</f>
        <v>Edit</v>
      </c>
    </row>
    <row r="9" ht="30.75" customHeight="1">
      <c r="A9" s="135" t="s">
        <v>190</v>
      </c>
      <c r="B9" s="136" t="s">
        <v>189</v>
      </c>
      <c r="C9" s="137"/>
      <c r="D9" s="137"/>
      <c r="E9" s="135" t="s">
        <v>191</v>
      </c>
      <c r="F9" s="136" t="s">
        <v>189</v>
      </c>
      <c r="G9" s="137"/>
      <c r="H9" s="137"/>
      <c r="I9" s="135" t="s">
        <v>96</v>
      </c>
      <c r="J9" s="137"/>
      <c r="K9" s="137"/>
      <c r="L9" s="135" t="s">
        <v>192</v>
      </c>
    </row>
    <row r="10" ht="33.75" customHeight="1">
      <c r="A10" s="138" t="str">
        <f>IFERROR(__xludf.DUMMYFUNCTION("CONCATENATE(TO_TEXT('Times Series'!AA27),"" TCO2e"")"),"35178 TCO2e")</f>
        <v>35178 TCO2e</v>
      </c>
      <c r="B10" s="139">
        <f>'Times Series'!AB27</f>
        <v>0.905486777</v>
      </c>
      <c r="C10" s="140"/>
      <c r="D10" s="140"/>
      <c r="E10" s="138" t="str">
        <f>IFERROR(__xludf.DUMMYFUNCTION("CONCATENATE(TO_TEXT('Times Series'!AA47),"" TCO2e"")"),"90894 TCO2e")</f>
        <v>90894 TCO2e</v>
      </c>
      <c r="F10" s="139">
        <f>'Times Series'!AB47</f>
        <v>0.554830781</v>
      </c>
      <c r="G10" s="140"/>
      <c r="H10" s="140"/>
      <c r="I10" s="141">
        <f>S25</f>
        <v>5980218.141</v>
      </c>
      <c r="J10" s="140"/>
      <c r="K10" s="140"/>
      <c r="L10" s="141">
        <f>S26</f>
        <v>30480809.78</v>
      </c>
    </row>
    <row r="13">
      <c r="P13" s="3" t="s">
        <v>2</v>
      </c>
      <c r="Q13" s="3" t="s">
        <v>193</v>
      </c>
      <c r="R13" s="3" t="s">
        <v>194</v>
      </c>
      <c r="S13" s="3" t="s">
        <v>195</v>
      </c>
    </row>
    <row r="14">
      <c r="P14" s="3">
        <v>2019.0</v>
      </c>
      <c r="Q14" s="3">
        <v>20.0</v>
      </c>
      <c r="R14" s="42">
        <f>'Times Series'!AA16</f>
        <v>15843.61361</v>
      </c>
      <c r="S14" s="4">
        <f t="shared" ref="S14:S25" si="1">R14*Q14</f>
        <v>316872.2722</v>
      </c>
    </row>
    <row r="15">
      <c r="P15" s="4">
        <f t="shared" ref="P15:P25" si="2">P14+1</f>
        <v>2020</v>
      </c>
      <c r="Q15" s="3">
        <v>30.0</v>
      </c>
      <c r="R15" s="42">
        <f>'Times Series'!AA17</f>
        <v>17314.8063</v>
      </c>
      <c r="S15" s="4">
        <f t="shared" si="1"/>
        <v>519444.189</v>
      </c>
    </row>
    <row r="16">
      <c r="P16" s="4">
        <f t="shared" si="2"/>
        <v>2021</v>
      </c>
      <c r="Q16" s="3">
        <v>40.0</v>
      </c>
      <c r="R16" s="42">
        <f>'Times Series'!AA18</f>
        <v>18838.50925</v>
      </c>
      <c r="S16" s="4">
        <f t="shared" si="1"/>
        <v>753540.3702</v>
      </c>
    </row>
    <row r="17">
      <c r="P17" s="4">
        <f t="shared" si="2"/>
        <v>2022</v>
      </c>
      <c r="Q17" s="3">
        <v>50.0</v>
      </c>
      <c r="R17" s="42">
        <f>'Times Series'!AA19</f>
        <v>20416.2344</v>
      </c>
      <c r="S17" s="4">
        <f t="shared" si="1"/>
        <v>1020811.72</v>
      </c>
    </row>
    <row r="18">
      <c r="P18" s="4">
        <f t="shared" si="2"/>
        <v>2023</v>
      </c>
      <c r="Q18" s="3">
        <v>65.0</v>
      </c>
      <c r="R18" s="42">
        <f>'Times Series'!AA20</f>
        <v>22049.53316</v>
      </c>
      <c r="S18" s="4">
        <f t="shared" si="1"/>
        <v>1433219.655</v>
      </c>
    </row>
    <row r="19">
      <c r="P19" s="4">
        <f t="shared" si="2"/>
        <v>2024</v>
      </c>
      <c r="Q19" s="3">
        <v>80.0</v>
      </c>
      <c r="R19" s="42">
        <f>'Times Series'!AA21</f>
        <v>23739.99737</v>
      </c>
      <c r="S19" s="4">
        <f t="shared" si="1"/>
        <v>1899199.789</v>
      </c>
    </row>
    <row r="20">
      <c r="P20" s="4">
        <f t="shared" si="2"/>
        <v>2025</v>
      </c>
      <c r="Q20" s="3">
        <v>95.0</v>
      </c>
      <c r="R20" s="42">
        <f>'Times Series'!AA22</f>
        <v>25489.26033</v>
      </c>
      <c r="S20" s="4">
        <f t="shared" si="1"/>
        <v>2421479.731</v>
      </c>
    </row>
    <row r="21">
      <c r="P21" s="4">
        <f t="shared" si="2"/>
        <v>2026</v>
      </c>
      <c r="Q21" s="3">
        <v>110.0</v>
      </c>
      <c r="R21" s="42">
        <f>'Times Series'!AA23</f>
        <v>27298.99781</v>
      </c>
      <c r="S21" s="4">
        <f t="shared" si="1"/>
        <v>3002889.759</v>
      </c>
    </row>
    <row r="22">
      <c r="P22" s="4">
        <f t="shared" si="2"/>
        <v>2027</v>
      </c>
      <c r="Q22" s="3">
        <v>125.0</v>
      </c>
      <c r="R22" s="42">
        <f>'Times Series'!AA24</f>
        <v>29170.92909</v>
      </c>
      <c r="S22" s="4">
        <f t="shared" si="1"/>
        <v>3646366.136</v>
      </c>
    </row>
    <row r="23">
      <c r="P23" s="4">
        <f t="shared" si="2"/>
        <v>2028</v>
      </c>
      <c r="Q23" s="3">
        <v>140.0</v>
      </c>
      <c r="R23" s="42">
        <f>'Times Series'!AA25</f>
        <v>31106.81802</v>
      </c>
      <c r="S23" s="4">
        <f t="shared" si="1"/>
        <v>4354954.523</v>
      </c>
    </row>
    <row r="24">
      <c r="P24" s="4">
        <f t="shared" si="2"/>
        <v>2029</v>
      </c>
      <c r="Q24" s="3">
        <v>155.0</v>
      </c>
      <c r="R24" s="42">
        <f>'Times Series'!AA26</f>
        <v>33108.47414</v>
      </c>
      <c r="S24" s="4">
        <f t="shared" si="1"/>
        <v>5131813.491</v>
      </c>
    </row>
    <row r="25">
      <c r="P25" s="4">
        <f t="shared" si="2"/>
        <v>2030</v>
      </c>
      <c r="Q25" s="3">
        <v>170.0</v>
      </c>
      <c r="R25" s="42">
        <f>'Times Series'!AA27</f>
        <v>35177.75377</v>
      </c>
      <c r="S25" s="4">
        <f t="shared" si="1"/>
        <v>5980218.141</v>
      </c>
    </row>
    <row r="26">
      <c r="P26" s="3" t="s">
        <v>103</v>
      </c>
      <c r="R26" s="42">
        <f t="shared" ref="R26:S26" si="3">SUM(R14:R25)</f>
        <v>299554.9273</v>
      </c>
      <c r="S26" s="42">
        <f t="shared" si="3"/>
        <v>30480809.78</v>
      </c>
    </row>
    <row r="67" ht="12.0" customHeight="1"/>
    <row r="68" ht="25.5" customHeight="1">
      <c r="A68" s="130" t="str">
        <f t="array" ref="A68:L68">A8:L8</f>
        <v>Action Plan Name:</v>
      </c>
      <c r="B68" s="130" t="s">
        <v>55</v>
      </c>
      <c r="C68" s="4"/>
      <c r="D68" s="4"/>
      <c r="E68" s="4"/>
      <c r="F68" s="4"/>
      <c r="G68" s="4"/>
      <c r="H68" s="4"/>
      <c r="I68" s="4"/>
      <c r="J68" s="4"/>
      <c r="K68" s="4"/>
      <c r="L68" s="134" t="s">
        <v>109</v>
      </c>
    </row>
    <row r="69">
      <c r="M69" s="3" t="s">
        <v>196</v>
      </c>
      <c r="N69" s="142">
        <f>'Times Series'!AA27</f>
        <v>35177.75377</v>
      </c>
      <c r="O69" s="3" t="s">
        <v>97</v>
      </c>
    </row>
    <row r="70">
      <c r="M70" s="3" t="s">
        <v>197</v>
      </c>
      <c r="N70" s="42">
        <f>'Times Series'!AA47</f>
        <v>90894.48833</v>
      </c>
      <c r="O70" s="3" t="s">
        <v>97</v>
      </c>
    </row>
    <row r="71">
      <c r="M71" s="3" t="s">
        <v>198</v>
      </c>
      <c r="N71" s="143">
        <f t="shared" ref="N71:N72" si="4">S25</f>
        <v>5980218.141</v>
      </c>
    </row>
    <row r="72">
      <c r="M72" s="3" t="s">
        <v>199</v>
      </c>
      <c r="N72" s="143">
        <f t="shared" si="4"/>
        <v>30480809.78</v>
      </c>
    </row>
    <row r="73">
      <c r="M73" s="3" t="s">
        <v>200</v>
      </c>
      <c r="N73" s="144">
        <f>'Times Series'!AB27</f>
        <v>0.905486777</v>
      </c>
    </row>
    <row r="74">
      <c r="M74" s="3" t="s">
        <v>201</v>
      </c>
      <c r="N74" s="144">
        <f>'Times Series'!AB47</f>
        <v>0.554830781</v>
      </c>
    </row>
    <row r="100" ht="140.25" customHeight="1"/>
    <row r="102" ht="41.25" customHeight="1"/>
  </sheetData>
  <hyperlinks>
    <hyperlink r:id="rId1" ref="L68"/>
  </hyperlinks>
  <drawing r:id="rId2"/>
</worksheet>
</file>