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Alex\Desktop\"/>
    </mc:Choice>
  </mc:AlternateContent>
  <xr:revisionPtr revIDLastSave="0" documentId="13_ncr:1_{17E69B3B-928C-424F-8E81-E9461989C9CD}" xr6:coauthVersionLast="47" xr6:coauthVersionMax="47" xr10:uidLastSave="{00000000-0000-0000-0000-000000000000}"/>
  <bookViews>
    <workbookView xWindow="-120" yWindow="-120" windowWidth="29040" windowHeight="15840" tabRatio="823" xr2:uid="{BD8EA683-3255-46C3-9F6A-170C2149527D}"/>
  </bookViews>
  <sheets>
    <sheet name="Population requirements" sheetId="1" r:id="rId1"/>
    <sheet name="Island Size" sheetId="10" r:id="rId2"/>
    <sheet name="Island combinations (WIP)" sheetId="8" r:id="rId3"/>
    <sheet name="Resource prep for palace" sheetId="12" r:id="rId4"/>
    <sheet name="Coal calculations" sheetId="5" r:id="rId5"/>
    <sheet name="Units" sheetId="6" r:id="rId6"/>
    <sheet name="Ship cost efficiency" sheetId="11" r:id="rId7"/>
    <sheet name="Custodians pros and cons (WIP)" sheetId="9" r:id="rId8"/>
    <sheet name="Size 14 handover" sheetId="7" r:id="rId9"/>
    <sheet name="Output ref" sheetId="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F27" i="1"/>
  <c r="G27" i="1"/>
  <c r="H27" i="1"/>
  <c r="M72" i="1"/>
  <c r="J72" i="1"/>
  <c r="H72" i="1"/>
  <c r="F72" i="1"/>
  <c r="D72" i="1"/>
  <c r="H57" i="1"/>
  <c r="M42" i="1"/>
  <c r="J42" i="1"/>
  <c r="C18" i="12"/>
  <c r="H12" i="12"/>
  <c r="H11" i="12"/>
  <c r="H19" i="12"/>
  <c r="H13" i="12"/>
  <c r="H10" i="12"/>
  <c r="H4" i="12"/>
  <c r="E31" i="11"/>
  <c r="H20" i="6"/>
  <c r="H21" i="6" s="1"/>
  <c r="H19" i="6"/>
  <c r="E30" i="11"/>
  <c r="E29" i="11"/>
  <c r="E28" i="11"/>
  <c r="E27" i="11"/>
  <c r="E26" i="11"/>
  <c r="E25" i="11"/>
  <c r="E24" i="11"/>
  <c r="E23" i="11"/>
  <c r="J13" i="11"/>
  <c r="J12" i="11"/>
  <c r="J11" i="11"/>
  <c r="J10" i="11"/>
  <c r="J9" i="11"/>
  <c r="J8" i="11"/>
  <c r="J7" i="11"/>
  <c r="J6" i="11"/>
  <c r="E13" i="11"/>
  <c r="E12" i="11"/>
  <c r="E11" i="11"/>
  <c r="E10" i="11"/>
  <c r="E9" i="11"/>
  <c r="E8" i="11"/>
  <c r="E7" i="11"/>
  <c r="E6" i="11"/>
  <c r="I13" i="11"/>
  <c r="I12" i="11"/>
  <c r="I11" i="11"/>
  <c r="I10" i="11"/>
  <c r="I9" i="11"/>
  <c r="I8" i="11"/>
  <c r="I7" i="11"/>
  <c r="I6" i="11"/>
  <c r="D13" i="11"/>
  <c r="D12" i="11"/>
  <c r="D11" i="11"/>
  <c r="D10" i="11"/>
  <c r="D9" i="11"/>
  <c r="D8" i="11"/>
  <c r="D7" i="11"/>
  <c r="D6" i="11"/>
  <c r="H5" i="12" l="1"/>
  <c r="C5" i="12" s="1"/>
  <c r="H8" i="12" s="1"/>
  <c r="C26" i="12" s="1"/>
  <c r="C27" i="12" s="1"/>
  <c r="C28" i="12" s="1"/>
  <c r="B60" i="1"/>
  <c r="L139" i="1"/>
  <c r="L136" i="1"/>
  <c r="L135" i="1"/>
  <c r="L138" i="1"/>
  <c r="L137" i="1"/>
  <c r="L134" i="1"/>
  <c r="L133" i="1"/>
  <c r="L132" i="1"/>
  <c r="H6" i="10"/>
  <c r="H7" i="10" s="1"/>
  <c r="H8" i="10" s="1"/>
  <c r="H9" i="10" s="1"/>
  <c r="H10" i="10" s="1"/>
  <c r="H11" i="10" s="1"/>
  <c r="H12" i="10" s="1"/>
  <c r="H13" i="10" s="1"/>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B6" i="10"/>
  <c r="D6" i="10" s="1"/>
  <c r="J5" i="10"/>
  <c r="I6" i="10" s="1"/>
  <c r="K5" i="10" s="1"/>
  <c r="F5" i="10"/>
  <c r="D5" i="10"/>
  <c r="C5" i="10"/>
  <c r="E5" i="10" s="1"/>
  <c r="H7" i="12" l="1"/>
  <c r="C24" i="12" s="1"/>
  <c r="C33" i="12"/>
  <c r="C37" i="12" s="1"/>
  <c r="C38" i="12" s="1"/>
  <c r="C30" i="12"/>
  <c r="C31" i="12" s="1"/>
  <c r="C22" i="12"/>
  <c r="L140" i="1"/>
  <c r="F6" i="10"/>
  <c r="J6" i="10"/>
  <c r="I7" i="10" s="1"/>
  <c r="B7" i="10"/>
  <c r="C6" i="10"/>
  <c r="E6" i="10" s="1"/>
  <c r="C34" i="12" l="1"/>
  <c r="C36" i="12" s="1"/>
  <c r="F7" i="10"/>
  <c r="L5" i="10" s="1"/>
  <c r="D7" i="10"/>
  <c r="C7" i="10"/>
  <c r="E7" i="10" s="1"/>
  <c r="B8" i="10"/>
  <c r="K6" i="10"/>
  <c r="J7" i="10"/>
  <c r="I8" i="10" s="1"/>
  <c r="C35" i="12" l="1"/>
  <c r="J8" i="10"/>
  <c r="I9" i="10" s="1"/>
  <c r="K7" i="10"/>
  <c r="L6" i="10"/>
  <c r="F8" i="10"/>
  <c r="D8" i="10"/>
  <c r="C8" i="10"/>
  <c r="E8" i="10" s="1"/>
  <c r="B9" i="10"/>
  <c r="F9" i="10" l="1"/>
  <c r="L7" i="10" s="1"/>
  <c r="D9" i="10"/>
  <c r="C9" i="10"/>
  <c r="E9" i="10" s="1"/>
  <c r="B10" i="10"/>
  <c r="J9" i="10"/>
  <c r="I10" i="10" s="1"/>
  <c r="K8" i="10"/>
  <c r="K9" i="10" l="1"/>
  <c r="J10" i="10"/>
  <c r="I11" i="10" s="1"/>
  <c r="B11" i="10"/>
  <c r="F10" i="10"/>
  <c r="L8" i="10" s="1"/>
  <c r="C10" i="10"/>
  <c r="E10" i="10" s="1"/>
  <c r="D10" i="10"/>
  <c r="C11" i="10" l="1"/>
  <c r="E11" i="10" s="1"/>
  <c r="B12" i="10"/>
  <c r="F11" i="10"/>
  <c r="D11" i="10"/>
  <c r="K10" i="10"/>
  <c r="J11" i="10"/>
  <c r="I12" i="10" s="1"/>
  <c r="L9" i="10"/>
  <c r="K11" i="10" l="1"/>
  <c r="J12" i="10"/>
  <c r="I13" i="10" s="1"/>
  <c r="D12" i="10"/>
  <c r="C12" i="10"/>
  <c r="E12" i="10" s="1"/>
  <c r="B13" i="10"/>
  <c r="F12" i="10"/>
  <c r="F13" i="10" s="1"/>
  <c r="F14" i="10" s="1"/>
  <c r="F15" i="10" s="1"/>
  <c r="F16" i="10" s="1"/>
  <c r="F17" i="10" s="1"/>
  <c r="F18" i="10" s="1"/>
  <c r="F19" i="10" s="1"/>
  <c r="F20" i="10" s="1"/>
  <c r="F21" i="10" s="1"/>
  <c r="F22" i="10" s="1"/>
  <c r="F23" i="10" s="1"/>
  <c r="F24" i="10" s="1"/>
  <c r="F25" i="10" s="1"/>
  <c r="F26" i="10" s="1"/>
  <c r="F27" i="10" s="1"/>
  <c r="F28" i="10" s="1"/>
  <c r="F29" i="10" s="1"/>
  <c r="D13" i="10" l="1"/>
  <c r="C13" i="10"/>
  <c r="E13" i="10" s="1"/>
  <c r="B14" i="10"/>
  <c r="L10" i="10"/>
  <c r="K12" i="10"/>
  <c r="J13" i="10"/>
  <c r="I14" i="10" s="1"/>
  <c r="J14" i="10" l="1"/>
  <c r="I15" i="10" s="1"/>
  <c r="K13" i="10"/>
  <c r="L13" i="10" s="1"/>
  <c r="D14" i="10"/>
  <c r="C14" i="10"/>
  <c r="E14" i="10" s="1"/>
  <c r="B15" i="10"/>
  <c r="D15" i="10" l="1"/>
  <c r="C15" i="10"/>
  <c r="E15" i="10" s="1"/>
  <c r="B16" i="10"/>
  <c r="J15" i="10"/>
  <c r="I16" i="10" s="1"/>
  <c r="K14" i="10"/>
  <c r="L14" i="10" s="1"/>
  <c r="B17" i="10" l="1"/>
  <c r="C16" i="10"/>
  <c r="E16" i="10" s="1"/>
  <c r="D16" i="10"/>
  <c r="L11" i="10"/>
  <c r="K15" i="10"/>
  <c r="L15" i="10" s="1"/>
  <c r="J16" i="10"/>
  <c r="I17" i="10" s="1"/>
  <c r="K16" i="10" l="1"/>
  <c r="L16" i="10" s="1"/>
  <c r="J17" i="10"/>
  <c r="I18" i="10" s="1"/>
  <c r="C17" i="10"/>
  <c r="E17" i="10" s="1"/>
  <c r="B18" i="10"/>
  <c r="D17" i="10"/>
  <c r="D18" i="10" l="1"/>
  <c r="C18" i="10"/>
  <c r="E18" i="10" s="1"/>
  <c r="B19" i="10"/>
  <c r="K17" i="10"/>
  <c r="L17" i="10" s="1"/>
  <c r="J18" i="10"/>
  <c r="I19" i="10" s="1"/>
  <c r="K18" i="10" l="1"/>
  <c r="L18" i="10" s="1"/>
  <c r="J19" i="10"/>
  <c r="I20" i="10" s="1"/>
  <c r="D19" i="10"/>
  <c r="C19" i="10"/>
  <c r="E19" i="10" s="1"/>
  <c r="B20" i="10"/>
  <c r="J20" i="10" l="1"/>
  <c r="I21" i="10" s="1"/>
  <c r="K19" i="10"/>
  <c r="L19" i="10" s="1"/>
  <c r="D20" i="10"/>
  <c r="C20" i="10"/>
  <c r="E20" i="10" s="1"/>
  <c r="B21" i="10"/>
  <c r="D21" i="10" l="1"/>
  <c r="C21" i="10"/>
  <c r="E21" i="10" s="1"/>
  <c r="B22" i="10"/>
  <c r="J21" i="10"/>
  <c r="I22" i="10" s="1"/>
  <c r="K20" i="10"/>
  <c r="L20" i="10" s="1"/>
  <c r="B23" i="10" l="1"/>
  <c r="C22" i="10"/>
  <c r="E22" i="10" s="1"/>
  <c r="D22" i="10"/>
  <c r="K21" i="10"/>
  <c r="L21" i="10" s="1"/>
  <c r="J22" i="10"/>
  <c r="I23" i="10" s="1"/>
  <c r="K22" i="10" l="1"/>
  <c r="L22" i="10" s="1"/>
  <c r="J23" i="10"/>
  <c r="I24" i="10" s="1"/>
  <c r="C23" i="10"/>
  <c r="E23" i="10" s="1"/>
  <c r="B24" i="10"/>
  <c r="D23" i="10"/>
  <c r="D24" i="10" l="1"/>
  <c r="C24" i="10"/>
  <c r="E24" i="10" s="1"/>
  <c r="B25" i="10"/>
  <c r="L12" i="10"/>
  <c r="K23" i="10"/>
  <c r="L23" i="10" s="1"/>
  <c r="J24" i="10"/>
  <c r="I25" i="10" s="1"/>
  <c r="D25" i="10" l="1"/>
  <c r="C25" i="10"/>
  <c r="E25" i="10" s="1"/>
  <c r="B26" i="10"/>
  <c r="J25" i="10"/>
  <c r="I26" i="10" s="1"/>
  <c r="K24" i="10"/>
  <c r="L24" i="10" s="1"/>
  <c r="J26" i="10" l="1"/>
  <c r="I27" i="10" s="1"/>
  <c r="K25" i="10"/>
  <c r="L25" i="10" s="1"/>
  <c r="D26" i="10"/>
  <c r="C26" i="10"/>
  <c r="E26" i="10" s="1"/>
  <c r="B27" i="10"/>
  <c r="B28" i="10" l="1"/>
  <c r="D27" i="10"/>
  <c r="C27" i="10"/>
  <c r="E27" i="10" s="1"/>
  <c r="K26" i="10"/>
  <c r="L26" i="10" s="1"/>
  <c r="J27" i="10"/>
  <c r="I28" i="10" s="1"/>
  <c r="J28" i="10" l="1"/>
  <c r="I29" i="10" s="1"/>
  <c r="K27" i="10"/>
  <c r="L27" i="10" s="1"/>
  <c r="B29" i="10"/>
  <c r="C28" i="10"/>
  <c r="E28" i="10" s="1"/>
  <c r="D28" i="10"/>
  <c r="C29" i="10" l="1"/>
  <c r="E29" i="10" s="1"/>
  <c r="D29" i="10"/>
  <c r="K28" i="10"/>
  <c r="L28" i="10" s="1"/>
  <c r="J29" i="10"/>
  <c r="I30" i="10" s="1"/>
  <c r="J30" i="10" l="1"/>
  <c r="I31" i="10" s="1"/>
  <c r="K29" i="10"/>
  <c r="L29" i="10" s="1"/>
  <c r="K30" i="10" l="1"/>
  <c r="L30" i="10" s="1"/>
  <c r="J31" i="10"/>
  <c r="I32" i="10" s="1"/>
  <c r="J32" i="10" l="1"/>
  <c r="I33" i="10" s="1"/>
  <c r="K31" i="10"/>
  <c r="L31" i="10" s="1"/>
  <c r="K32" i="10" l="1"/>
  <c r="L32" i="10" s="1"/>
  <c r="J33" i="10"/>
  <c r="I34" i="10" s="1"/>
  <c r="J34" i="10" l="1"/>
  <c r="I35" i="10" s="1"/>
  <c r="K33" i="10"/>
  <c r="L33" i="10" s="1"/>
  <c r="K35" i="10" l="1"/>
  <c r="L35" i="10" s="1"/>
  <c r="J35" i="10"/>
  <c r="K34" i="10"/>
  <c r="L34" i="10" s="1"/>
  <c r="I4" i="5" l="1"/>
  <c r="B18" i="1"/>
  <c r="B30" i="1"/>
  <c r="B45" i="1"/>
  <c r="N7" i="7"/>
  <c r="O7" i="7"/>
  <c r="O21" i="7"/>
  <c r="F15" i="5"/>
  <c r="K5" i="7"/>
  <c r="O5" i="7" s="1"/>
  <c r="K23" i="7"/>
  <c r="M23" i="7" s="1"/>
  <c r="K6" i="7"/>
  <c r="M6" i="7" s="1"/>
  <c r="K7" i="7"/>
  <c r="L7" i="7" s="1"/>
  <c r="K8" i="7"/>
  <c r="O8" i="7" s="1"/>
  <c r="K9" i="7"/>
  <c r="M9" i="7" s="1"/>
  <c r="K10" i="7"/>
  <c r="J10" i="7" s="1"/>
  <c r="K12" i="7"/>
  <c r="O12" i="7" s="1"/>
  <c r="K13" i="7"/>
  <c r="O13" i="7" s="1"/>
  <c r="K14" i="7"/>
  <c r="L14" i="7" s="1"/>
  <c r="K15" i="7"/>
  <c r="L15" i="7" s="1"/>
  <c r="K16" i="7"/>
  <c r="L16" i="7" s="1"/>
  <c r="K17" i="7"/>
  <c r="O17" i="7" s="1"/>
  <c r="K19" i="7"/>
  <c r="M19" i="7" s="1"/>
  <c r="K20" i="7"/>
  <c r="M20" i="7" s="1"/>
  <c r="K21" i="7"/>
  <c r="L21" i="7" s="1"/>
  <c r="K22" i="7"/>
  <c r="O22" i="7" s="1"/>
  <c r="J23" i="7" l="1"/>
  <c r="L23" i="7"/>
  <c r="O23" i="7"/>
  <c r="N22" i="7"/>
  <c r="M22" i="7"/>
  <c r="L22" i="7"/>
  <c r="J22" i="7"/>
  <c r="N21" i="7"/>
  <c r="M21" i="7"/>
  <c r="J21" i="7"/>
  <c r="J20" i="7"/>
  <c r="J19" i="7"/>
  <c r="O19" i="7"/>
  <c r="L19" i="7"/>
  <c r="J17" i="7"/>
  <c r="M17" i="7"/>
  <c r="N17" i="7"/>
  <c r="N16" i="7"/>
  <c r="O16" i="7"/>
  <c r="M16" i="7"/>
  <c r="J9" i="7"/>
  <c r="N8" i="7"/>
  <c r="L8" i="7"/>
  <c r="M8" i="7"/>
  <c r="J8" i="7"/>
  <c r="M7" i="7"/>
  <c r="J7" i="7"/>
  <c r="J6" i="7"/>
  <c r="L13" i="7"/>
  <c r="O6" i="7"/>
  <c r="M13" i="7"/>
  <c r="L9" i="7"/>
  <c r="M12" i="7"/>
  <c r="O20" i="7"/>
  <c r="O15" i="7"/>
  <c r="O10" i="7"/>
  <c r="J16" i="7"/>
  <c r="N20" i="7"/>
  <c r="N15" i="7"/>
  <c r="N10" i="7"/>
  <c r="N6" i="7"/>
  <c r="L10" i="7"/>
  <c r="J15" i="7"/>
  <c r="L20" i="7"/>
  <c r="L6" i="7"/>
  <c r="M15" i="7"/>
  <c r="M10" i="7"/>
  <c r="N13" i="7"/>
  <c r="O14" i="7"/>
  <c r="O9" i="7"/>
  <c r="L12" i="7"/>
  <c r="J14" i="7"/>
  <c r="J13" i="7"/>
  <c r="L17" i="7"/>
  <c r="N23" i="7"/>
  <c r="N19" i="7"/>
  <c r="N14" i="7"/>
  <c r="N9" i="7"/>
  <c r="N12" i="7"/>
  <c r="J12" i="7"/>
  <c r="M14" i="7"/>
  <c r="L5" i="7"/>
  <c r="M5" i="7"/>
  <c r="N5" i="7"/>
  <c r="J5" i="7"/>
  <c r="H18" i="6"/>
  <c r="D21" i="6" s="1"/>
  <c r="D22" i="6" s="1"/>
  <c r="D3" i="1"/>
  <c r="D9" i="1" s="1"/>
  <c r="D15" i="1"/>
  <c r="C5" i="5"/>
  <c r="C4" i="5" s="1"/>
  <c r="G132" i="1"/>
  <c r="G133" i="1"/>
  <c r="G134" i="1"/>
  <c r="G135" i="1"/>
  <c r="G136" i="1"/>
  <c r="G137" i="1"/>
  <c r="G138" i="1"/>
  <c r="G139" i="1"/>
  <c r="D20" i="6" l="1"/>
  <c r="G140" i="1"/>
  <c r="E93" i="1"/>
  <c r="E99" i="1" s="1"/>
  <c r="E96" i="1" s="1"/>
  <c r="P104" i="1" s="1"/>
  <c r="D99" i="1"/>
  <c r="D96" i="1" s="1"/>
  <c r="O104" i="1" s="1"/>
  <c r="M75" i="1"/>
  <c r="J75" i="1"/>
  <c r="H75" i="1"/>
  <c r="F84" i="1"/>
  <c r="F81" i="1" s="1"/>
  <c r="F108" i="1" s="1"/>
  <c r="D75" i="1"/>
  <c r="J117" i="1" l="1"/>
  <c r="M117" i="1"/>
  <c r="D117" i="1"/>
  <c r="G117" i="1"/>
  <c r="O122" i="1"/>
  <c r="P122" i="1"/>
  <c r="H84" i="1"/>
  <c r="E126" i="1"/>
  <c r="F126" i="1"/>
  <c r="D126" i="1"/>
  <c r="G126" i="1"/>
  <c r="H126" i="1"/>
  <c r="F87" i="1"/>
  <c r="F99" i="1" s="1"/>
  <c r="E90" i="1"/>
  <c r="O113" i="1" s="1"/>
  <c r="M84" i="1"/>
  <c r="M81" i="1" s="1"/>
  <c r="J108" i="1" s="1"/>
  <c r="N72" i="1"/>
  <c r="J84" i="1"/>
  <c r="J81" i="1" s="1"/>
  <c r="G108" i="1" s="1"/>
  <c r="K72" i="1"/>
  <c r="K75" i="1" s="1"/>
  <c r="K117" i="1" s="1"/>
  <c r="I72" i="1"/>
  <c r="G72" i="1"/>
  <c r="F75" i="1"/>
  <c r="D84" i="1"/>
  <c r="D81" i="1" s="1"/>
  <c r="D108" i="1" s="1"/>
  <c r="E72" i="1"/>
  <c r="N35" i="1" l="1"/>
  <c r="O35" i="1"/>
  <c r="O32" i="1"/>
  <c r="F117" i="1"/>
  <c r="F90" i="1"/>
  <c r="P113" i="1" s="1"/>
  <c r="H78" i="1"/>
  <c r="O117" i="1" s="1"/>
  <c r="H81" i="1"/>
  <c r="K108" i="1" s="1"/>
  <c r="L72" i="1"/>
  <c r="L84" i="1" s="1"/>
  <c r="L81" i="1" s="1"/>
  <c r="H108" i="1" s="1"/>
  <c r="K84" i="1"/>
  <c r="N84" i="1"/>
  <c r="N82" i="1" s="1"/>
  <c r="N80" i="1"/>
  <c r="N78" i="1" s="1"/>
  <c r="N75" i="1"/>
  <c r="I75" i="1"/>
  <c r="I84" i="1"/>
  <c r="G84" i="1"/>
  <c r="G81" i="1" s="1"/>
  <c r="G75" i="1"/>
  <c r="M32" i="1" s="1"/>
  <c r="E75" i="1"/>
  <c r="E84" i="1"/>
  <c r="E81" i="1" s="1"/>
  <c r="E108" i="1" s="1"/>
  <c r="L75" i="1" l="1"/>
  <c r="H117" i="1" s="1"/>
  <c r="O34" i="1"/>
  <c r="N34" i="1"/>
  <c r="O36" i="1"/>
  <c r="N36" i="1"/>
  <c r="N32" i="1"/>
  <c r="L32" i="1"/>
  <c r="N117" i="1"/>
  <c r="L34" i="1"/>
  <c r="E117" i="1"/>
  <c r="L36" i="1"/>
  <c r="I117" i="1"/>
  <c r="K78" i="1"/>
  <c r="L117" i="1" s="1"/>
  <c r="K81" i="1"/>
  <c r="I82" i="1"/>
  <c r="I108" i="1" s="1"/>
  <c r="I80" i="1"/>
  <c r="I78" i="1" s="1"/>
  <c r="P54" i="1"/>
  <c r="P69" i="1"/>
  <c r="P45" i="1"/>
  <c r="P60" i="1"/>
  <c r="P117" i="1"/>
  <c r="M35" i="1" l="1"/>
  <c r="L35" i="1"/>
  <c r="O33" i="1"/>
  <c r="N33" i="1"/>
  <c r="L33" i="1"/>
  <c r="N122" i="1"/>
  <c r="P66" i="1"/>
  <c r="P51" i="1"/>
  <c r="I57" i="1"/>
  <c r="D42" i="1"/>
  <c r="H7" i="6"/>
  <c r="H8" i="6"/>
  <c r="D122" i="1" l="1"/>
  <c r="D54" i="1"/>
  <c r="H69" i="1"/>
  <c r="H66" i="1" s="1"/>
  <c r="I69" i="1"/>
  <c r="I66" i="1" s="1"/>
  <c r="N104" i="1"/>
  <c r="J57" i="1"/>
  <c r="J66" i="1" s="1"/>
  <c r="H60" i="1"/>
  <c r="I60" i="1"/>
  <c r="L28" i="1" l="1"/>
  <c r="N29" i="1"/>
  <c r="M29" i="1"/>
  <c r="L29" i="1"/>
  <c r="D12" i="6"/>
  <c r="D13" i="6"/>
  <c r="G13" i="6" s="1"/>
  <c r="H4" i="6"/>
  <c r="E7" i="6" s="1"/>
  <c r="K8" i="5"/>
  <c r="K7" i="5"/>
  <c r="F57" i="1"/>
  <c r="D57" i="1"/>
  <c r="E42" i="1"/>
  <c r="G12" i="6" l="1"/>
  <c r="D14" i="6"/>
  <c r="F42" i="1"/>
  <c r="E54" i="1"/>
  <c r="E57" i="1"/>
  <c r="D69" i="1"/>
  <c r="D66" i="1" s="1"/>
  <c r="E122" i="1"/>
  <c r="F60" i="1"/>
  <c r="E8" i="6"/>
  <c r="D60" i="1"/>
  <c r="E60" i="1"/>
  <c r="F69" i="1"/>
  <c r="G57" i="1" s="1"/>
  <c r="M30" i="1" l="1"/>
  <c r="G60" i="1"/>
  <c r="G61" i="1"/>
  <c r="E69" i="1"/>
  <c r="E66" i="1" s="1"/>
  <c r="L30" i="1" s="1"/>
  <c r="G69" i="1"/>
  <c r="M31" i="1" s="1"/>
  <c r="L31" i="1" l="1"/>
  <c r="G67" i="1"/>
  <c r="G66" i="1"/>
  <c r="M40" i="1"/>
  <c r="M55" i="1"/>
  <c r="M70" i="1"/>
  <c r="D21" i="1"/>
  <c r="D27" i="1"/>
  <c r="D51" i="1"/>
  <c r="N42" i="1"/>
  <c r="K42" i="1"/>
  <c r="G42" i="1"/>
  <c r="I42" i="1"/>
  <c r="E45" i="1"/>
  <c r="H30" i="1"/>
  <c r="G33" i="1"/>
  <c r="F39" i="1"/>
  <c r="E27" i="1"/>
  <c r="E30" i="1" s="1"/>
  <c r="E24" i="1"/>
  <c r="E21" i="1" s="1"/>
  <c r="D113" i="1" l="1"/>
  <c r="F37" i="1"/>
  <c r="D39" i="1"/>
  <c r="D36" i="1" s="1"/>
  <c r="D104" i="1" s="1"/>
  <c r="L42" i="1"/>
  <c r="L51" i="1" s="1"/>
  <c r="J104" i="1" s="1"/>
  <c r="I122" i="1"/>
  <c r="M45" i="1"/>
  <c r="J122" i="1"/>
  <c r="J54" i="1"/>
  <c r="J51" i="1" s="1"/>
  <c r="H122" i="1"/>
  <c r="I45" i="1"/>
  <c r="G122" i="1"/>
  <c r="G54" i="1"/>
  <c r="H42" i="1" s="1"/>
  <c r="F122" i="1"/>
  <c r="F30" i="1"/>
  <c r="F31" i="1"/>
  <c r="F36" i="1"/>
  <c r="K54" i="1"/>
  <c r="K51" i="1" s="1"/>
  <c r="I104" i="1" s="1"/>
  <c r="K45" i="1"/>
  <c r="M54" i="1"/>
  <c r="M51" i="1" s="1"/>
  <c r="M48" i="1"/>
  <c r="M113" i="1" s="1"/>
  <c r="E51" i="1"/>
  <c r="E104" i="1" s="1"/>
  <c r="G45" i="1"/>
  <c r="I48" i="1"/>
  <c r="I113" i="1" s="1"/>
  <c r="I54" i="1"/>
  <c r="I51" i="1" s="1"/>
  <c r="J45" i="1"/>
  <c r="H39" i="1"/>
  <c r="H36" i="1" s="1"/>
  <c r="G30" i="1"/>
  <c r="G39" i="1"/>
  <c r="G36" i="1" s="1"/>
  <c r="E39" i="1"/>
  <c r="E36" i="1" s="1"/>
  <c r="L108" i="1" s="1"/>
  <c r="E18" i="1"/>
  <c r="K104" i="1" l="1"/>
  <c r="N23" i="1"/>
  <c r="M23" i="1"/>
  <c r="M26" i="1"/>
  <c r="N24" i="1"/>
  <c r="M24" i="1"/>
  <c r="L18" i="1"/>
  <c r="H104" i="1"/>
  <c r="G114" i="1"/>
  <c r="G113" i="1"/>
  <c r="H46" i="1"/>
  <c r="H45" i="1"/>
  <c r="L19" i="1"/>
  <c r="L113" i="1"/>
  <c r="L23" i="1"/>
  <c r="F113" i="1"/>
  <c r="K113" i="1"/>
  <c r="L24" i="1"/>
  <c r="J113" i="1"/>
  <c r="L21" i="1"/>
  <c r="H113" i="1"/>
  <c r="L22" i="1"/>
  <c r="N48" i="1"/>
  <c r="N45" i="1"/>
  <c r="H54" i="1"/>
  <c r="F45" i="1"/>
  <c r="F54" i="1"/>
  <c r="F51" i="1" s="1"/>
  <c r="F104" i="1" s="1"/>
  <c r="E113" i="1" l="1"/>
  <c r="M25" i="1"/>
  <c r="H52" i="1"/>
  <c r="G104" i="1"/>
  <c r="G105" i="1"/>
  <c r="H51" i="1"/>
  <c r="L26" i="1"/>
  <c r="L25" i="1"/>
</calcChain>
</file>

<file path=xl/sharedStrings.xml><?xml version="1.0" encoding="utf-8"?>
<sst xmlns="http://schemas.openxmlformats.org/spreadsheetml/2006/main" count="931" uniqueCount="427">
  <si>
    <t>Schnapps</t>
  </si>
  <si>
    <t>Per hour per plot</t>
  </si>
  <si>
    <t>Linseed</t>
  </si>
  <si>
    <t>Linen</t>
  </si>
  <si>
    <t>Linen Weavers</t>
  </si>
  <si>
    <t>Linen weavers</t>
  </si>
  <si>
    <t>Townsmen</t>
  </si>
  <si>
    <t>Fabric</t>
  </si>
  <si>
    <t>Bread</t>
  </si>
  <si>
    <t>Cigars</t>
  </si>
  <si>
    <t>Wool</t>
  </si>
  <si>
    <t>Weavers</t>
  </si>
  <si>
    <t>Wheat</t>
  </si>
  <si>
    <t>Tobacco</t>
  </si>
  <si>
    <t>Bakery</t>
  </si>
  <si>
    <t>Windmills</t>
  </si>
  <si>
    <t>Merchants</t>
  </si>
  <si>
    <t>Clothes</t>
  </si>
  <si>
    <t>Beer</t>
  </si>
  <si>
    <t>Meat</t>
  </si>
  <si>
    <t>Gold Jewelry</t>
  </si>
  <si>
    <t>Tailor</t>
  </si>
  <si>
    <t>Textile Mill</t>
  </si>
  <si>
    <t>Hops</t>
  </si>
  <si>
    <t>Malthouse</t>
  </si>
  <si>
    <t>Brewery</t>
  </si>
  <si>
    <t>Malt</t>
  </si>
  <si>
    <t>Salt</t>
  </si>
  <si>
    <t>Butcher's Shop</t>
  </si>
  <si>
    <t>Cattle</t>
  </si>
  <si>
    <t>Saltern</t>
  </si>
  <si>
    <t>Coal</t>
  </si>
  <si>
    <t>Gold ore</t>
  </si>
  <si>
    <t>Goldsmith</t>
  </si>
  <si>
    <t>Gold</t>
  </si>
  <si>
    <t>Bakeries</t>
  </si>
  <si>
    <t>Butcher's Shops</t>
  </si>
  <si>
    <t>Goldsmiths</t>
  </si>
  <si>
    <t>Gold Smelters</t>
  </si>
  <si>
    <t>Cigar manufacturers</t>
  </si>
  <si>
    <t>Tailors</t>
  </si>
  <si>
    <t>Breweries</t>
  </si>
  <si>
    <t>Boats</t>
  </si>
  <si>
    <t>Caravel</t>
  </si>
  <si>
    <t>Hulk</t>
  </si>
  <si>
    <t>Pinnace</t>
  </si>
  <si>
    <t>Galleon</t>
  </si>
  <si>
    <t>Clipper</t>
  </si>
  <si>
    <t>Schooner</t>
  </si>
  <si>
    <t>Windjammer</t>
  </si>
  <si>
    <t>Cotton field</t>
  </si>
  <si>
    <t>Charcoal Kilns coal per hour</t>
  </si>
  <si>
    <t>Coal mines coal per hour</t>
  </si>
  <si>
    <t>Coal mines required</t>
  </si>
  <si>
    <t>Charcoal Kilns required</t>
  </si>
  <si>
    <t>Per hour production</t>
  </si>
  <si>
    <t>Coal consumption per hour</t>
  </si>
  <si>
    <t>Gold smelter</t>
  </si>
  <si>
    <t>Iron Smelter</t>
  </si>
  <si>
    <t>Iron Armory</t>
  </si>
  <si>
    <t>Iron smelter</t>
  </si>
  <si>
    <t>Paragons</t>
  </si>
  <si>
    <t>Coal per hour required</t>
  </si>
  <si>
    <t>Have</t>
  </si>
  <si>
    <t>Charcoal Kilns</t>
  </si>
  <si>
    <t>Coal mines</t>
  </si>
  <si>
    <t>Iron smelters</t>
  </si>
  <si>
    <t>Can have</t>
  </si>
  <si>
    <t>Armory</t>
  </si>
  <si>
    <t>Crossbow maker</t>
  </si>
  <si>
    <t>Armories</t>
  </si>
  <si>
    <t>Crossbow makers</t>
  </si>
  <si>
    <t xml:space="preserve">Required </t>
  </si>
  <si>
    <t>Knight barracks</t>
  </si>
  <si>
    <t>Crossbow shooting ranges</t>
  </si>
  <si>
    <t>Iron bars per hour</t>
  </si>
  <si>
    <t>Unit maker</t>
  </si>
  <si>
    <t>Units produced</t>
  </si>
  <si>
    <t>Missing</t>
  </si>
  <si>
    <t>Wool/Yarn</t>
  </si>
  <si>
    <t>Cigar Manufacturers</t>
  </si>
  <si>
    <t>Butcher's</t>
  </si>
  <si>
    <t>Gold smelters</t>
  </si>
  <si>
    <t>Medicus</t>
  </si>
  <si>
    <t>Linseed oil press</t>
  </si>
  <si>
    <t>Linseed oil</t>
  </si>
  <si>
    <t>Negative number = not required/can't have</t>
  </si>
  <si>
    <t>Dye</t>
  </si>
  <si>
    <t>Silk</t>
  </si>
  <si>
    <t>Silk cloth</t>
  </si>
  <si>
    <t>Raw silk</t>
  </si>
  <si>
    <t>Silk twine mill</t>
  </si>
  <si>
    <t>Noble Tailor</t>
  </si>
  <si>
    <t>Goblet manufacturer</t>
  </si>
  <si>
    <t>Gemstone</t>
  </si>
  <si>
    <t>Gold bars</t>
  </si>
  <si>
    <t>Gemstones</t>
  </si>
  <si>
    <t>Candles</t>
  </si>
  <si>
    <t>Honey</t>
  </si>
  <si>
    <t>Fine forges</t>
  </si>
  <si>
    <t>Iron ore</t>
  </si>
  <si>
    <t>Chandler</t>
  </si>
  <si>
    <t>Candle holders</t>
  </si>
  <si>
    <t>Iron bars</t>
  </si>
  <si>
    <t>Wine</t>
  </si>
  <si>
    <t>Grapes</t>
  </si>
  <si>
    <t>Barrels</t>
  </si>
  <si>
    <t>Winepress</t>
  </si>
  <si>
    <t>Sawmills</t>
  </si>
  <si>
    <t>Coopers</t>
  </si>
  <si>
    <t>Feasts</t>
  </si>
  <si>
    <t>Lobsters</t>
  </si>
  <si>
    <t>Noble kitchens</t>
  </si>
  <si>
    <t>Lobsterer</t>
  </si>
  <si>
    <t>Liquer</t>
  </si>
  <si>
    <t>Potatoes</t>
  </si>
  <si>
    <t>Distillery</t>
  </si>
  <si>
    <t>Horses</t>
  </si>
  <si>
    <t>Tiltyards</t>
  </si>
  <si>
    <t>University</t>
  </si>
  <si>
    <t>Books</t>
  </si>
  <si>
    <t>Dyes</t>
  </si>
  <si>
    <t>Paper Mills</t>
  </si>
  <si>
    <t>Wood</t>
  </si>
  <si>
    <t>Goblet manufacturers</t>
  </si>
  <si>
    <t>Silk twine mills</t>
  </si>
  <si>
    <t>Noble tailors</t>
  </si>
  <si>
    <t>Goblets</t>
  </si>
  <si>
    <t>Garments</t>
  </si>
  <si>
    <t>Noble Tailors</t>
  </si>
  <si>
    <t>Paper mills</t>
  </si>
  <si>
    <t>Bookbinders</t>
  </si>
  <si>
    <t>Paper</t>
  </si>
  <si>
    <t>Beer/Malt</t>
  </si>
  <si>
    <t>Copper Ore</t>
  </si>
  <si>
    <t>Gold Smelter</t>
  </si>
  <si>
    <t>Copper Smelter</t>
  </si>
  <si>
    <t>Copper smelters</t>
  </si>
  <si>
    <t>Copper smelter</t>
  </si>
  <si>
    <t>Wood (approx)</t>
  </si>
  <si>
    <t>Cigar manufacturer</t>
  </si>
  <si>
    <t>Primary item required</t>
  </si>
  <si>
    <t>Supplementary items</t>
  </si>
  <si>
    <t>Building upkeep (i.e. University/Medicus)</t>
  </si>
  <si>
    <t>Gold ores</t>
  </si>
  <si>
    <t>Fine Forge</t>
  </si>
  <si>
    <t>For merchant needs and luxuries and paragon needs</t>
  </si>
  <si>
    <t>40 merchants 10 paragons = 10 merchants 35 paragons</t>
  </si>
  <si>
    <t>Cokery</t>
  </si>
  <si>
    <t>Powder Mill</t>
  </si>
  <si>
    <t>Brickyard</t>
  </si>
  <si>
    <t>Toolmaker</t>
  </si>
  <si>
    <t>Production per hour</t>
  </si>
  <si>
    <t>Copper ore</t>
  </si>
  <si>
    <t>Copper bars</t>
  </si>
  <si>
    <t>Copper tiles</t>
  </si>
  <si>
    <t>Copper smelters required</t>
  </si>
  <si>
    <t>Copper armories required</t>
  </si>
  <si>
    <t>Barracks</t>
  </si>
  <si>
    <t>Copper armory</t>
  </si>
  <si>
    <t>Copper ores per hour</t>
  </si>
  <si>
    <t>Barrracks</t>
  </si>
  <si>
    <t>Copper bars per hour</t>
  </si>
  <si>
    <t>Copper swords per hour</t>
  </si>
  <si>
    <t>Clay mines</t>
  </si>
  <si>
    <t>Clay mine output</t>
  </si>
  <si>
    <t>Militia per hour</t>
  </si>
  <si>
    <t>Iron units</t>
  </si>
  <si>
    <t>Total gold</t>
  </si>
  <si>
    <t>Time</t>
  </si>
  <si>
    <t>Transported p/h</t>
  </si>
  <si>
    <t>Base Transport p/h</t>
  </si>
  <si>
    <t>References</t>
  </si>
  <si>
    <t>Editable cells (input the amount you have/want)</t>
  </si>
  <si>
    <t>LEGEND - READ FIRST</t>
  </si>
  <si>
    <t>You have</t>
  </si>
  <si>
    <t>Total</t>
  </si>
  <si>
    <t>Buildings required - Paragons and merchants only</t>
  </si>
  <si>
    <t>Resources (amount to ship to population island) - Paragons and merchants only</t>
  </si>
  <si>
    <t>Cotton/Textile Mills</t>
  </si>
  <si>
    <t>Copper units</t>
  </si>
  <si>
    <t>EVERYTHING IS PER HOUR</t>
  </si>
  <si>
    <t>Cog</t>
  </si>
  <si>
    <t>Cogs</t>
  </si>
  <si>
    <t>Caravels</t>
  </si>
  <si>
    <t>Blue Pearl</t>
  </si>
  <si>
    <t>Approx gold p/h - Doesn't count for battle time</t>
  </si>
  <si>
    <t>Gold production (100% luxuries)</t>
  </si>
  <si>
    <t xml:space="preserve">  </t>
  </si>
  <si>
    <t>Favour production (100% luxuries)</t>
  </si>
  <si>
    <t>Size</t>
  </si>
  <si>
    <t>Resource 1</t>
  </si>
  <si>
    <t>Resource 2</t>
  </si>
  <si>
    <t>Bricks</t>
  </si>
  <si>
    <t>Hammers</t>
  </si>
  <si>
    <t>Cotton</t>
  </si>
  <si>
    <t>Tiles required - Townsmen, Merchants, and Paragons only</t>
  </si>
  <si>
    <t>Pirate</t>
  </si>
  <si>
    <t>Scrap collector</t>
  </si>
  <si>
    <t>Treasurer</t>
  </si>
  <si>
    <t>Lucky fellow</t>
  </si>
  <si>
    <t>Pros</t>
  </si>
  <si>
    <t>Cons</t>
  </si>
  <si>
    <t>Can have 15 Townsmen houses with all production on main island</t>
  </si>
  <si>
    <t>Will need to source a lot of stone elsewhere early on</t>
  </si>
  <si>
    <t>Early game resource production (linseed/wood/etc) will be easy</t>
  </si>
  <si>
    <t>Should have no gold problems till merchants</t>
  </si>
  <si>
    <t>Gold farming unconquered islands from minute 0</t>
  </si>
  <si>
    <t>More free islands to farm gold/carts/favour with</t>
  </si>
  <si>
    <t>Quick emergency transportation</t>
  </si>
  <si>
    <t>Quick gold farming</t>
  </si>
  <si>
    <t>Not much use past merchants for gold farming and 127 favour</t>
  </si>
  <si>
    <t>Not able to get free islands from merchants and paragons instantly</t>
  </si>
  <si>
    <t>No cost to reorganize islands</t>
  </si>
  <si>
    <t>Can sell excess ships/buildings at the end to speed up gold farming for Palace</t>
  </si>
  <si>
    <t>Instant free several islands if you rush the population buildings</t>
  </si>
  <si>
    <t>Hell to optimize best use of resources</t>
  </si>
  <si>
    <t>Very early T2/3 ship</t>
  </si>
  <si>
    <t>Can make a lot of ships early</t>
  </si>
  <si>
    <t>Instant production luxuries at max when new population buildings are built</t>
  </si>
  <si>
    <t>Requires Pirate to farm/manipulate resources from conquered islands</t>
  </si>
  <si>
    <t>Can get early boost when setting up on a new island</t>
  </si>
  <si>
    <t>Resources are even more random if not forcefully capping</t>
  </si>
  <si>
    <t>Extra wiggle room</t>
  </si>
  <si>
    <t>More early islands in the form of favour generation from paragons if going that route</t>
  </si>
  <si>
    <t>Lack of stone</t>
  </si>
  <si>
    <t>Clay</t>
  </si>
  <si>
    <t>Gold (10+)</t>
  </si>
  <si>
    <t>Marble (10+)</t>
  </si>
  <si>
    <t>Resource 3</t>
  </si>
  <si>
    <t>Linseed Oil</t>
  </si>
  <si>
    <t>Gems (3+)</t>
  </si>
  <si>
    <t>Copper (3+)</t>
  </si>
  <si>
    <t>Resource 4</t>
  </si>
  <si>
    <t>Coal (from wood)</t>
  </si>
  <si>
    <t>Lobsters (3+)</t>
  </si>
  <si>
    <t>Bronze bars</t>
  </si>
  <si>
    <t>Iron (3+)</t>
  </si>
  <si>
    <t>Iron (8+)</t>
  </si>
  <si>
    <t>Gunpowder</t>
  </si>
  <si>
    <t>Steel</t>
  </si>
  <si>
    <t>Saltpetre (3+)</t>
  </si>
  <si>
    <t>Gold (3+)</t>
  </si>
  <si>
    <t>Not really a pro if you have treasurer</t>
  </si>
  <si>
    <t>Requires scrapper or warehouseman to make full use of early game boost</t>
  </si>
  <si>
    <t>Using some resources requires scrapper/warehouseman</t>
  </si>
  <si>
    <t>Probably can have all linseed and schnapps production together on this island, no need for sole</t>
  </si>
  <si>
    <t>No need for population buildings until merchants. The gold goes a long way</t>
  </si>
  <si>
    <t>Home</t>
  </si>
  <si>
    <t>Outputs</t>
  </si>
  <si>
    <t>Marble</t>
  </si>
  <si>
    <t>16/18</t>
  </si>
  <si>
    <t>Notes</t>
  </si>
  <si>
    <t>GET FISH WHEREVER YOU CAN</t>
  </si>
  <si>
    <t>Gold Bars</t>
  </si>
  <si>
    <t>Stone</t>
  </si>
  <si>
    <t>GET COAL WHEREVER YOU CAN FROM KILNS</t>
  </si>
  <si>
    <t>GET SALT FROM WHEREVER YOU CAN (3 sides)</t>
  </si>
  <si>
    <t>Wheat tiles</t>
  </si>
  <si>
    <t>Hops tiles</t>
  </si>
  <si>
    <t>Wool tiles</t>
  </si>
  <si>
    <t>Tobacco tiles</t>
  </si>
  <si>
    <t>Cattle tiles</t>
  </si>
  <si>
    <t>Salt tiles</t>
  </si>
  <si>
    <t>Potato tiles</t>
  </si>
  <si>
    <t>Linseed tiles</t>
  </si>
  <si>
    <t>Gold ore tiles</t>
  </si>
  <si>
    <t>Coal mines/tiles</t>
  </si>
  <si>
    <t>Silk tiles</t>
  </si>
  <si>
    <t>Gemstone tiles</t>
  </si>
  <si>
    <t>Copper ore tiles</t>
  </si>
  <si>
    <t>Honey tiles</t>
  </si>
  <si>
    <t>Grape tiles</t>
  </si>
  <si>
    <t>Wood tiles</t>
  </si>
  <si>
    <t>Iron ore tiles</t>
  </si>
  <si>
    <t>Lobster tiles</t>
  </si>
  <si>
    <t>Horse tiles</t>
  </si>
  <si>
    <t>Dye tiles</t>
  </si>
  <si>
    <t>Ideally all islands should have potato fertility, as a failsafe and to fuel militia production when conquering the island, assuming it doesn't add too much time to discovery</t>
  </si>
  <si>
    <t>Approximate costs (conservative-ish)</t>
  </si>
  <si>
    <t>Island size (e.g. 12)</t>
  </si>
  <si>
    <t>Estimated land area</t>
  </si>
  <si>
    <t>Estimated water perimeter area</t>
  </si>
  <si>
    <t>Estimated Mountain area</t>
  </si>
  <si>
    <t>Favor on conquest and handover</t>
  </si>
  <si>
    <t>Island number</t>
  </si>
  <si>
    <t>Favor needed</t>
  </si>
  <si>
    <t>Power of 2</t>
  </si>
  <si>
    <t>Step</t>
  </si>
  <si>
    <t>Equivalent handover island size</t>
  </si>
  <si>
    <t>Personal notes</t>
  </si>
  <si>
    <t>Generally divide the land area by 1.3 to get a rough estimate for how many tiles you can have for a resource (i.e. not including warehouses, collector buildings, etc)</t>
  </si>
  <si>
    <t>All tiles are individually counted here. So in the case of something like a Sheep Farm, it comes with a 3x3 tile set but for the purposes of this sheet, it is counted as 8 individual resource tiles. Formulas account for the fact it's a set (i.e. 8 sheep farm tile produces 30 yarn per hour, so each tile generates 3.75 yarn per hour). This is to account for the fact that you will not always have a perfect 3x3 tile set.</t>
  </si>
  <si>
    <t>Kontors. More useful than you'd think</t>
  </si>
  <si>
    <t>T3 ship really isn't worth it</t>
  </si>
  <si>
    <t>=</t>
  </si>
  <si>
    <t>Early higher tier units (Knights/Crossbowmen)</t>
  </si>
  <si>
    <t>Not really that useful until later on (especially crossbowmen)</t>
  </si>
  <si>
    <t>Can clear the game with no extra Knights/Crossbowmen production</t>
  </si>
  <si>
    <t>Can spam militia mercenaries for really no cost. Conquer the whole starting island minus boss in minutes.</t>
  </si>
  <si>
    <r>
      <t xml:space="preserve">ALL CREDITS GO TO </t>
    </r>
    <r>
      <rPr>
        <b/>
        <sz val="11"/>
        <color rgb="FFFF0000"/>
        <rFont val="Calibri"/>
        <family val="2"/>
        <scheme val="minor"/>
      </rPr>
      <t>VARLANCE</t>
    </r>
    <r>
      <rPr>
        <b/>
        <sz val="11"/>
        <color theme="1"/>
        <rFont val="Calibri"/>
        <family val="2"/>
        <scheme val="minor"/>
      </rPr>
      <t xml:space="preserve"> FOR THIS TAB</t>
    </r>
  </si>
  <si>
    <t>Wheat (only if possible)</t>
  </si>
  <si>
    <t>Rockets</t>
  </si>
  <si>
    <t>Export raw material for further production</t>
  </si>
  <si>
    <t>Refine/produce on same island</t>
  </si>
  <si>
    <r>
      <t xml:space="preserve">Normal - 100% Paragon luxury production </t>
    </r>
    <r>
      <rPr>
        <b/>
        <sz val="11"/>
        <color rgb="FFFF0000"/>
        <rFont val="Calibri"/>
        <family val="2"/>
        <scheme val="minor"/>
      </rPr>
      <t>(RECOMMENDED FOR BEGINNERS)</t>
    </r>
  </si>
  <si>
    <t>No need for schnapps island and transportation</t>
  </si>
  <si>
    <t>40+ ish merchants can't handle all fish needs on home island</t>
  </si>
  <si>
    <t>Pioneer buildings</t>
  </si>
  <si>
    <t>Colonist buildings</t>
  </si>
  <si>
    <t>Townsmen buildings</t>
  </si>
  <si>
    <t>Merchant buildings</t>
  </si>
  <si>
    <t>Paragon buildings</t>
  </si>
  <si>
    <t>Iron (5+)</t>
  </si>
  <si>
    <t>Boats w/ Navigator</t>
  </si>
  <si>
    <t xml:space="preserve"> </t>
  </si>
  <si>
    <t>Copper</t>
  </si>
  <si>
    <t>Lack of carts</t>
  </si>
  <si>
    <t>Brickyards required</t>
  </si>
  <si>
    <t>Coal-generating buildings requirement calculator</t>
  </si>
  <si>
    <r>
      <t xml:space="preserve">Number of possible buildings - </t>
    </r>
    <r>
      <rPr>
        <b/>
        <sz val="11"/>
        <color rgb="FFFF0000"/>
        <rFont val="Calibri"/>
        <family val="2"/>
        <scheme val="minor"/>
      </rPr>
      <t>Needs to have left table filled out to work properly</t>
    </r>
  </si>
  <si>
    <t>Island combination examples</t>
  </si>
  <si>
    <t>Trade route calculator - Delivering one way only</t>
  </si>
  <si>
    <t>Cost in coins per transport p/h</t>
  </si>
  <si>
    <t>Size 14 Island handover gold per hour</t>
  </si>
  <si>
    <t>Fertilities</t>
  </si>
  <si>
    <t>Deposits chosen</t>
  </si>
  <si>
    <t>Cost in ropes per transport p/h</t>
  </si>
  <si>
    <t>Higher coin/rope cost per transportation ability doesn't mean those ships are worse. Faster ships means less maximum storage space needed for higher-intensity resources such as schnapps, as well as being quicker to rectify mistakes</t>
  </si>
  <si>
    <t>Ropes are in as consideration as you may not be lacking in coins, but rather in linseed (and vice versa)</t>
  </si>
  <si>
    <t>Other things to consider for Hulks and above are that sails require wool, as well as potentially other resources (steel and hammers) to make, on top of the building cost needed to produce those items</t>
  </si>
  <si>
    <t>Navigator effectiveness</t>
  </si>
  <si>
    <t>Navigator Transport p/h</t>
  </si>
  <si>
    <t>Increase in efficiency</t>
  </si>
  <si>
    <t>Navigator is not a straight up 2x increase in speed (as you can see below), as the 5 min loading time now takes a larger % of your shipping time compared to without navigator (slower ships are affected less due to longer travel time)</t>
  </si>
  <si>
    <t>Footsoldiers per hour</t>
  </si>
  <si>
    <t>No need for making books if you time your palace building well</t>
  </si>
  <si>
    <t>THIS IS ALL BASED ON 50 MERCHANTS AT ONCE, AND THEN CONVERTING THEM TO 34 PARAGONS AND 10 MERCHANTS. ALSO 5k STORAGE ON ISLAND MINIMUM. HIGHER IS RECOMMENDED</t>
  </si>
  <si>
    <t>60% recommended for feasts minimum unless you have warehouseman</t>
  </si>
  <si>
    <t>You can do 40-50% production for others, but keep an eye out</t>
  </si>
  <si>
    <t>Slightly higher at least is recommended to account for errors/not timing palace upgrades well</t>
  </si>
  <si>
    <t>Some extra coins (negligible, 10-20 max) when farming islands</t>
  </si>
  <si>
    <t>Normal - 45-60% Paragon luxury production</t>
  </si>
  <si>
    <t>Lucky fellow - 45-60% Paragon luxury production</t>
  </si>
  <si>
    <t>Gems (2+)</t>
  </si>
  <si>
    <t>If you are not that good at managing space yet, one size up will be comfortable enough generally</t>
  </si>
  <si>
    <t>Note: This page is for transport routes only, which includes the 5 min time loading and dropping off items at each island. Not using transport routes results in base rates</t>
  </si>
  <si>
    <t>Message Munkleson on discord for feedback/questions</t>
  </si>
  <si>
    <t>Need to be careful of capping resources when reorganizing islands</t>
  </si>
  <si>
    <t>Gold per hour</t>
  </si>
  <si>
    <t>Reference</t>
  </si>
  <si>
    <t>Hours of gold saving</t>
  </si>
  <si>
    <t>Merchant houses during palace building stage</t>
  </si>
  <si>
    <t>Amount of coins during palace building</t>
  </si>
  <si>
    <t>Palace stage 4</t>
  </si>
  <si>
    <t>Brickyards</t>
  </si>
  <si>
    <t>Toolmakers</t>
  </si>
  <si>
    <t>Marble quarries</t>
  </si>
  <si>
    <t>Bricks required</t>
  </si>
  <si>
    <t>Marble required</t>
  </si>
  <si>
    <t>Palace stage 3</t>
  </si>
  <si>
    <t>Important to consider how many merchant houses you want to keep while building the palace</t>
  </si>
  <si>
    <t>Hammers required</t>
  </si>
  <si>
    <t>Bricks per hour</t>
  </si>
  <si>
    <t>Marble per hour</t>
  </si>
  <si>
    <t>Hammers per hour</t>
  </si>
  <si>
    <t>Gold required</t>
  </si>
  <si>
    <t>Steel required</t>
  </si>
  <si>
    <t>Steel furnaces</t>
  </si>
  <si>
    <t>Cokeries</t>
  </si>
  <si>
    <t>Charcoal kilns</t>
  </si>
  <si>
    <t>Legend</t>
  </si>
  <si>
    <t>Sub-production building for the one above</t>
  </si>
  <si>
    <t>Sub-production building for the yellow one above</t>
  </si>
  <si>
    <t>Main production building for resource required by palace</t>
  </si>
  <si>
    <t>Bricks + Marble</t>
  </si>
  <si>
    <t>Steel + Gold</t>
  </si>
  <si>
    <t>Not rounded up, as you may want to just extend the wait time a little bit if the decimal is close to 0</t>
  </si>
  <si>
    <t>Gold bars per hour</t>
  </si>
  <si>
    <t>Gold ore per hour</t>
  </si>
  <si>
    <t>Steel per hour</t>
  </si>
  <si>
    <t>Coke per hour</t>
  </si>
  <si>
    <t>Charcoal per hour</t>
  </si>
  <si>
    <t>Coal mines per hour</t>
  </si>
  <si>
    <t>Iron ore per hour</t>
  </si>
  <si>
    <t>Assumes near perfect timing of palace building/No wait time between phases</t>
  </si>
  <si>
    <t>Current resources</t>
  </si>
  <si>
    <t>Tools</t>
  </si>
  <si>
    <t>Coins</t>
  </si>
  <si>
    <t>Amount of buildings needed</t>
  </si>
  <si>
    <t>General</t>
  </si>
  <si>
    <t>Remember you need tools and marble for building 34 paragon houses (accounted for here)</t>
  </si>
  <si>
    <t>Iron mines</t>
  </si>
  <si>
    <t>Gold mines</t>
  </si>
  <si>
    <t>Random notes</t>
  </si>
  <si>
    <t>Marble (6+)</t>
  </si>
  <si>
    <t>Gold (2+)</t>
  </si>
  <si>
    <t>Saltpetre (2+)</t>
  </si>
  <si>
    <t>Clay (8/9+)</t>
  </si>
  <si>
    <t>Ideally you want minimal mountains for the amounts of deposits you want</t>
  </si>
  <si>
    <t>Important - Account for ship travel time for transporting resources. Rounding up may be necessary if it is somewhat close to the next whole number</t>
  </si>
  <si>
    <t>Average coins/profit per island</t>
  </si>
  <si>
    <t>Estimated coins for final palace phase</t>
  </si>
  <si>
    <t>Estimated amount of islands to farm</t>
  </si>
  <si>
    <t>Island farming</t>
  </si>
  <si>
    <t>You can remove 1 steel furnace to make room for planing mill if you'll hit the 4k steel bars without it</t>
  </si>
  <si>
    <t>Copper (1)</t>
  </si>
  <si>
    <t>Clay (2+ ideally)</t>
  </si>
  <si>
    <t>Copper (1+)</t>
  </si>
  <si>
    <t>Iron (6+)</t>
  </si>
  <si>
    <t>2 iron tiles for wine, 4 for steel. 1 extra for planing mill until 400 iron bars and any extra for tools</t>
  </si>
  <si>
    <t>Saltpetre (2)</t>
  </si>
  <si>
    <t>Lobsters (3)</t>
  </si>
  <si>
    <t>Gems (2)</t>
  </si>
  <si>
    <t>Gold (10+, 8 minimum)</t>
  </si>
  <si>
    <t>Marble (5+)</t>
  </si>
  <si>
    <t>Clay (5+)</t>
  </si>
  <si>
    <t>Extra coal goes to other islands that will need it (mostly for the Wine/Steel island)</t>
  </si>
  <si>
    <t>Start mining copper ASAP but no need to make bars yet. 1 tile is enough if your run time is above 5 days or you have treasurer at max efficiency</t>
  </si>
  <si>
    <t>Smelt copper here (4 smelters should be enough)</t>
  </si>
  <si>
    <t>Lucky fellow +  Scrap Collector + Pirate + Treasurer - 45-60% Paragon luxury production - Gameplay-intensive</t>
  </si>
  <si>
    <t>Lucky fellow + Scrap Collector + Pirate - 45-60% Paragon luxury production - Gameplay-intensive</t>
  </si>
  <si>
    <t>Iron (4+)</t>
  </si>
  <si>
    <t>Same notes as the ones above</t>
  </si>
  <si>
    <t>Be a bit conservative with how many coins you will get per island, as a safety buffer</t>
  </si>
  <si>
    <r>
      <t xml:space="preserve">Farming can be done up until the final palace stage (40k coins, 4k steel, gold bars, and tools), </t>
    </r>
    <r>
      <rPr>
        <b/>
        <sz val="11"/>
        <color theme="1"/>
        <rFont val="Calibri"/>
        <family val="2"/>
        <scheme val="minor"/>
      </rPr>
      <t>22 hours after starting the palace</t>
    </r>
  </si>
  <si>
    <t>If you have Scrap Collector and Treasurer, sell Kontors on farmed islands for an extra 100 coins per island (add to the profit per island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</si>
</sst>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8" x14ac:knownFonts="1">
    <font>
      <sz val="11"/>
      <color theme="1"/>
      <name val="Calibri"/>
      <family val="2"/>
      <scheme val="minor"/>
    </font>
    <font>
      <b/>
      <sz val="11"/>
      <color theme="1"/>
      <name val="Calibri"/>
      <family val="2"/>
      <scheme val="minor"/>
    </font>
    <font>
      <sz val="11"/>
      <color rgb="FF0A0101"/>
      <name val="Calibri"/>
      <family val="2"/>
      <scheme val="minor"/>
    </font>
    <font>
      <b/>
      <sz val="11"/>
      <color rgb="FF0A0101"/>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8"/>
      <color rgb="FF3F3F76"/>
      <name val="Calibri"/>
      <family val="2"/>
      <scheme val="minor"/>
    </font>
    <font>
      <b/>
      <sz val="14"/>
      <color rgb="FF3F3F3F"/>
      <name val="Calibri"/>
      <family val="2"/>
      <scheme val="minor"/>
    </font>
    <font>
      <b/>
      <sz val="14"/>
      <color rgb="FF3F3F76"/>
      <name val="Calibri"/>
      <family val="2"/>
      <scheme val="minor"/>
    </font>
    <font>
      <b/>
      <sz val="11"/>
      <color rgb="FF3F3F76"/>
      <name val="Calibri"/>
      <family val="2"/>
      <scheme val="minor"/>
    </font>
    <font>
      <b/>
      <sz val="18"/>
      <color rgb="FFFA7D00"/>
      <name val="Calibri"/>
      <family val="2"/>
      <scheme val="minor"/>
    </font>
    <font>
      <b/>
      <sz val="14"/>
      <color rgb="FFFA7D00"/>
      <name val="Calibri"/>
      <family val="2"/>
      <scheme val="minor"/>
    </font>
    <font>
      <sz val="11"/>
      <color rgb="FFFF0000"/>
      <name val="Calibri"/>
      <family val="2"/>
      <scheme val="minor"/>
    </font>
    <font>
      <b/>
      <sz val="11"/>
      <color rgb="FFFF0000"/>
      <name val="Calibri"/>
      <family val="2"/>
      <scheme val="minor"/>
    </font>
    <font>
      <sz val="11"/>
      <color rgb="FF002060"/>
      <name val="Calibri"/>
      <family val="2"/>
      <scheme val="minor"/>
    </font>
    <font>
      <b/>
      <sz val="14"/>
      <color theme="1"/>
      <name val="Calibri"/>
      <family val="2"/>
      <scheme val="minor"/>
    </font>
    <font>
      <sz val="11"/>
      <color theme="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bgColor indexed="64"/>
      </patternFill>
    </fill>
    <fill>
      <patternFill patternType="solid">
        <fgColor theme="7" tint="0.39997558519241921"/>
        <bgColor indexed="64"/>
      </patternFill>
    </fill>
    <fill>
      <patternFill patternType="solid">
        <fgColor rgb="FFFFCC99"/>
      </patternFill>
    </fill>
    <fill>
      <patternFill patternType="solid">
        <fgColor rgb="FFF2F2F2"/>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
    <xf numFmtId="0" fontId="0" fillId="0" borderId="0"/>
    <xf numFmtId="0" fontId="4" fillId="11" borderId="20" applyNumberFormat="0" applyAlignment="0" applyProtection="0"/>
    <xf numFmtId="0" fontId="5" fillId="12" borderId="21" applyNumberFormat="0" applyAlignment="0" applyProtection="0"/>
    <xf numFmtId="0" fontId="6" fillId="12" borderId="20" applyNumberFormat="0" applyAlignment="0" applyProtection="0"/>
  </cellStyleXfs>
  <cellXfs count="191">
    <xf numFmtId="0" fontId="0" fillId="0" borderId="0" xfId="0"/>
    <xf numFmtId="0" fontId="0" fillId="0" borderId="0" xfId="0" applyAlignment="1">
      <alignment horizontal="left"/>
    </xf>
    <xf numFmtId="0" fontId="1" fillId="0" borderId="0" xfId="0" applyNumberFormat="1" applyFont="1" applyAlignment="1">
      <alignment horizontal="left"/>
    </xf>
    <xf numFmtId="0" fontId="1" fillId="0" borderId="1" xfId="0" applyNumberFormat="1" applyFont="1" applyBorder="1" applyAlignment="1">
      <alignment horizontal="left"/>
    </xf>
    <xf numFmtId="2" fontId="1" fillId="2" borderId="2" xfId="0" applyNumberFormat="1" applyFont="1" applyFill="1" applyBorder="1" applyAlignment="1">
      <alignment horizontal="left"/>
    </xf>
    <xf numFmtId="2" fontId="0" fillId="2" borderId="2" xfId="0" applyNumberFormat="1" applyFont="1" applyFill="1" applyBorder="1" applyAlignment="1">
      <alignment horizontal="left"/>
    </xf>
    <xf numFmtId="2" fontId="1" fillId="3" borderId="2" xfId="0" applyNumberFormat="1" applyFont="1" applyFill="1" applyBorder="1" applyAlignment="1">
      <alignment horizontal="left"/>
    </xf>
    <xf numFmtId="0" fontId="0" fillId="0" borderId="0" xfId="0" applyNumberFormat="1" applyFont="1" applyAlignment="1">
      <alignment horizontal="left"/>
    </xf>
    <xf numFmtId="164" fontId="0" fillId="0" borderId="0" xfId="0" applyNumberFormat="1" applyFont="1" applyAlignment="1">
      <alignment horizontal="left"/>
    </xf>
    <xf numFmtId="2" fontId="0" fillId="0" borderId="0" xfId="0" applyNumberFormat="1" applyFont="1" applyAlignment="1">
      <alignment horizontal="left"/>
    </xf>
    <xf numFmtId="2" fontId="0" fillId="0" borderId="2" xfId="0" applyNumberFormat="1" applyFont="1" applyBorder="1" applyAlignment="1">
      <alignment horizontal="left"/>
    </xf>
    <xf numFmtId="0" fontId="0" fillId="0" borderId="0" xfId="0" quotePrefix="1" applyNumberFormat="1" applyFont="1" applyAlignment="1">
      <alignment horizontal="left"/>
    </xf>
    <xf numFmtId="0" fontId="0" fillId="2" borderId="0" xfId="0" applyFill="1" applyAlignment="1">
      <alignment horizontal="left"/>
    </xf>
    <xf numFmtId="0" fontId="1" fillId="0" borderId="0" xfId="0" applyFont="1" applyAlignment="1">
      <alignment horizontal="left"/>
    </xf>
    <xf numFmtId="2" fontId="2" fillId="0" borderId="0" xfId="0" applyNumberFormat="1" applyFont="1" applyAlignment="1">
      <alignment horizontal="left"/>
    </xf>
    <xf numFmtId="164" fontId="2" fillId="0" borderId="0" xfId="0" applyNumberFormat="1" applyFont="1" applyAlignment="1">
      <alignment horizontal="left"/>
    </xf>
    <xf numFmtId="164" fontId="3" fillId="0" borderId="0" xfId="0" applyNumberFormat="1" applyFont="1" applyAlignment="1">
      <alignment horizontal="left"/>
    </xf>
    <xf numFmtId="2" fontId="3" fillId="0" borderId="0" xfId="0" applyNumberFormat="1" applyFont="1" applyAlignment="1">
      <alignment horizontal="left"/>
    </xf>
    <xf numFmtId="2" fontId="3" fillId="2" borderId="2" xfId="0" applyNumberFormat="1" applyFont="1" applyFill="1" applyBorder="1" applyAlignment="1">
      <alignment horizontal="left"/>
    </xf>
    <xf numFmtId="2" fontId="2" fillId="5" borderId="2" xfId="0" applyNumberFormat="1" applyFont="1" applyFill="1" applyBorder="1" applyAlignment="1">
      <alignment horizontal="left"/>
    </xf>
    <xf numFmtId="2" fontId="2" fillId="0" borderId="2" xfId="0" applyNumberFormat="1" applyFont="1" applyBorder="1" applyAlignment="1">
      <alignment horizontal="left"/>
    </xf>
    <xf numFmtId="2" fontId="3" fillId="5" borderId="2" xfId="0" applyNumberFormat="1" applyFont="1" applyFill="1" applyBorder="1" applyAlignment="1">
      <alignment horizontal="left"/>
    </xf>
    <xf numFmtId="2" fontId="0" fillId="0" borderId="0" xfId="0" applyNumberFormat="1" applyFont="1" applyFill="1" applyAlignment="1">
      <alignment horizontal="left"/>
    </xf>
    <xf numFmtId="2" fontId="0" fillId="4" borderId="0" xfId="0" applyNumberFormat="1" applyFont="1" applyFill="1" applyAlignment="1">
      <alignment horizontal="left"/>
    </xf>
    <xf numFmtId="2" fontId="3" fillId="4" borderId="0" xfId="0" applyNumberFormat="1" applyFont="1" applyFill="1" applyAlignment="1">
      <alignment horizontal="left"/>
    </xf>
    <xf numFmtId="2" fontId="1" fillId="5" borderId="2" xfId="0" applyNumberFormat="1" applyFont="1" applyFill="1" applyBorder="1" applyAlignment="1">
      <alignment horizontal="left"/>
    </xf>
    <xf numFmtId="2" fontId="1" fillId="0" borderId="0" xfId="0" applyNumberFormat="1" applyFont="1" applyFill="1" applyBorder="1" applyAlignment="1">
      <alignment horizontal="left"/>
    </xf>
    <xf numFmtId="2" fontId="0" fillId="0" borderId="0" xfId="0" applyNumberFormat="1" applyFont="1" applyFill="1" applyBorder="1" applyAlignment="1">
      <alignment horizontal="left"/>
    </xf>
    <xf numFmtId="0" fontId="0" fillId="4" borderId="0" xfId="0" applyNumberFormat="1" applyFont="1" applyFill="1" applyAlignment="1">
      <alignment horizontal="left"/>
    </xf>
    <xf numFmtId="0" fontId="0" fillId="6" borderId="0" xfId="0" applyNumberFormat="1" applyFont="1" applyFill="1" applyAlignment="1">
      <alignment horizontal="left"/>
    </xf>
    <xf numFmtId="2" fontId="0" fillId="6" borderId="0" xfId="0" applyNumberFormat="1" applyFont="1" applyFill="1" applyAlignment="1">
      <alignment horizontal="left"/>
    </xf>
    <xf numFmtId="2" fontId="2" fillId="4" borderId="0" xfId="0" applyNumberFormat="1" applyFont="1" applyFill="1" applyAlignment="1">
      <alignment horizontal="left"/>
    </xf>
    <xf numFmtId="2" fontId="0" fillId="3" borderId="0" xfId="0" applyNumberFormat="1" applyFont="1" applyFill="1" applyAlignment="1">
      <alignment horizontal="left"/>
    </xf>
    <xf numFmtId="2" fontId="1" fillId="0" borderId="1" xfId="0" applyNumberFormat="1" applyFont="1" applyBorder="1" applyAlignment="1">
      <alignment horizontal="left"/>
    </xf>
    <xf numFmtId="2" fontId="0" fillId="2" borderId="0" xfId="0" applyNumberFormat="1" applyFont="1" applyFill="1" applyAlignment="1">
      <alignment horizontal="left"/>
    </xf>
    <xf numFmtId="2" fontId="0" fillId="5" borderId="0" xfId="0" applyNumberFormat="1" applyFont="1" applyFill="1" applyAlignment="1">
      <alignment horizontal="left"/>
    </xf>
    <xf numFmtId="2" fontId="2" fillId="0" borderId="0" xfId="0" applyNumberFormat="1" applyFont="1" applyFill="1" applyAlignment="1">
      <alignment horizontal="left"/>
    </xf>
    <xf numFmtId="2" fontId="1" fillId="7" borderId="2" xfId="0" applyNumberFormat="1" applyFont="1" applyFill="1" applyBorder="1" applyAlignment="1">
      <alignment horizontal="left"/>
    </xf>
    <xf numFmtId="2" fontId="0" fillId="0" borderId="0" xfId="0" applyNumberFormat="1" applyFont="1" applyAlignment="1">
      <alignment horizontal="left"/>
    </xf>
    <xf numFmtId="2" fontId="0" fillId="0" borderId="0" xfId="0" applyNumberFormat="1" applyFont="1" applyAlignment="1">
      <alignment horizontal="left"/>
    </xf>
    <xf numFmtId="164" fontId="0" fillId="0" borderId="2" xfId="0" applyNumberFormat="1" applyFont="1" applyBorder="1" applyAlignment="1">
      <alignment horizontal="left"/>
    </xf>
    <xf numFmtId="164" fontId="0" fillId="2" borderId="2" xfId="0" applyNumberFormat="1" applyFont="1" applyFill="1" applyBorder="1" applyAlignment="1">
      <alignment horizontal="left"/>
    </xf>
    <xf numFmtId="164" fontId="0" fillId="7" borderId="2" xfId="0" applyNumberFormat="1" applyFont="1" applyFill="1" applyBorder="1" applyAlignment="1">
      <alignment horizontal="left"/>
    </xf>
    <xf numFmtId="2" fontId="0" fillId="7" borderId="2" xfId="0" applyNumberFormat="1" applyFont="1" applyFill="1"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1" fillId="0" borderId="2" xfId="0" applyFont="1" applyBorder="1" applyAlignment="1">
      <alignment horizontal="left"/>
    </xf>
    <xf numFmtId="0" fontId="0" fillId="2" borderId="6" xfId="0" applyFill="1" applyBorder="1" applyAlignment="1">
      <alignment horizontal="left"/>
    </xf>
    <xf numFmtId="0" fontId="0" fillId="0" borderId="7" xfId="0" applyBorder="1" applyAlignment="1">
      <alignment horizontal="left"/>
    </xf>
    <xf numFmtId="0" fontId="0" fillId="8" borderId="8" xfId="0" applyFill="1" applyBorder="1" applyAlignment="1">
      <alignment horizontal="left"/>
    </xf>
    <xf numFmtId="0" fontId="0" fillId="2" borderId="9" xfId="0" applyFill="1" applyBorder="1" applyAlignment="1">
      <alignment horizontal="left"/>
    </xf>
    <xf numFmtId="0" fontId="0" fillId="0" borderId="0" xfId="0" applyBorder="1" applyAlignment="1">
      <alignment horizontal="left"/>
    </xf>
    <xf numFmtId="0" fontId="0" fillId="8" borderId="10" xfId="0"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8" borderId="12" xfId="0" applyFill="1" applyBorder="1" applyAlignment="1">
      <alignment horizontal="left"/>
    </xf>
    <xf numFmtId="0" fontId="0" fillId="0" borderId="13" xfId="0" applyBorder="1" applyAlignment="1">
      <alignment horizontal="left"/>
    </xf>
    <xf numFmtId="0" fontId="0" fillId="0" borderId="8" xfId="0" applyBorder="1" applyAlignment="1">
      <alignment horizontal="left"/>
    </xf>
    <xf numFmtId="0" fontId="1" fillId="0" borderId="9" xfId="0" applyFont="1" applyBorder="1" applyAlignment="1">
      <alignment horizontal="left"/>
    </xf>
    <xf numFmtId="0" fontId="1" fillId="0" borderId="0" xfId="0" applyFont="1" applyBorder="1" applyAlignment="1">
      <alignment horizontal="left"/>
    </xf>
    <xf numFmtId="0" fontId="0" fillId="0" borderId="9" xfId="0" applyFont="1" applyBorder="1" applyAlignment="1">
      <alignment horizontal="left"/>
    </xf>
    <xf numFmtId="0" fontId="0" fillId="5" borderId="2" xfId="0" applyFill="1" applyBorder="1" applyAlignment="1">
      <alignment horizontal="left"/>
    </xf>
    <xf numFmtId="0" fontId="0" fillId="8" borderId="0" xfId="0" applyNumberFormat="1" applyFont="1" applyFill="1" applyAlignment="1">
      <alignment horizontal="left"/>
    </xf>
    <xf numFmtId="2" fontId="0" fillId="8" borderId="0" xfId="0" applyNumberFormat="1" applyFont="1" applyFill="1" applyAlignment="1">
      <alignment horizontal="left"/>
    </xf>
    <xf numFmtId="2" fontId="2" fillId="8" borderId="2" xfId="0" applyNumberFormat="1" applyFont="1" applyFill="1" applyBorder="1" applyAlignment="1">
      <alignment horizontal="left"/>
    </xf>
    <xf numFmtId="2" fontId="0" fillId="8" borderId="2" xfId="0" applyNumberFormat="1" applyFont="1" applyFill="1" applyBorder="1" applyAlignment="1">
      <alignment horizontal="left"/>
    </xf>
    <xf numFmtId="0" fontId="0" fillId="0" borderId="0" xfId="0" applyFont="1" applyBorder="1" applyAlignment="1">
      <alignment horizontal="left"/>
    </xf>
    <xf numFmtId="0" fontId="0" fillId="2" borderId="16" xfId="0" applyFill="1" applyBorder="1" applyAlignment="1">
      <alignment horizontal="left"/>
    </xf>
    <xf numFmtId="0" fontId="0" fillId="8" borderId="17" xfId="0" applyFill="1" applyBorder="1" applyAlignment="1">
      <alignment horizontal="left"/>
    </xf>
    <xf numFmtId="0" fontId="0" fillId="8" borderId="0" xfId="0" applyFill="1" applyBorder="1" applyAlignment="1">
      <alignment horizontal="left"/>
    </xf>
    <xf numFmtId="2" fontId="1" fillId="0" borderId="2" xfId="0" applyNumberFormat="1" applyFont="1" applyFill="1" applyBorder="1" applyAlignment="1">
      <alignment horizontal="left"/>
    </xf>
    <xf numFmtId="164" fontId="1" fillId="0" borderId="2" xfId="0" applyNumberFormat="1" applyFont="1" applyFill="1" applyBorder="1" applyAlignment="1">
      <alignment horizontal="left"/>
    </xf>
    <xf numFmtId="0" fontId="1" fillId="0" borderId="5" xfId="0" applyFont="1" applyBorder="1" applyAlignment="1">
      <alignment horizontal="left"/>
    </xf>
    <xf numFmtId="0" fontId="0" fillId="5" borderId="5" xfId="0" applyFill="1" applyBorder="1" applyAlignment="1">
      <alignment horizontal="left"/>
    </xf>
    <xf numFmtId="0" fontId="1" fillId="0" borderId="14" xfId="0" applyFont="1" applyBorder="1" applyAlignment="1">
      <alignment horizontal="left"/>
    </xf>
    <xf numFmtId="0" fontId="0" fillId="8" borderId="18" xfId="0" applyFill="1" applyBorder="1" applyAlignment="1">
      <alignment horizontal="left"/>
    </xf>
    <xf numFmtId="0" fontId="0" fillId="8" borderId="14" xfId="0" applyFill="1" applyBorder="1" applyAlignment="1">
      <alignment horizontal="left"/>
    </xf>
    <xf numFmtId="0" fontId="0" fillId="8" borderId="19" xfId="0" applyFill="1" applyBorder="1" applyAlignment="1">
      <alignment horizontal="left"/>
    </xf>
    <xf numFmtId="0" fontId="0" fillId="0" borderId="4" xfId="0" applyBorder="1" applyAlignment="1">
      <alignment horizontal="left"/>
    </xf>
    <xf numFmtId="0" fontId="0" fillId="7" borderId="17" xfId="0" applyFill="1" applyBorder="1" applyAlignment="1">
      <alignment horizontal="left"/>
    </xf>
    <xf numFmtId="2" fontId="1" fillId="0" borderId="0" xfId="0" applyNumberFormat="1" applyFont="1" applyAlignment="1">
      <alignment horizontal="left"/>
    </xf>
    <xf numFmtId="2" fontId="0" fillId="0" borderId="0" xfId="0" applyNumberFormat="1" applyAlignment="1">
      <alignment horizontal="left"/>
    </xf>
    <xf numFmtId="0" fontId="1" fillId="0" borderId="0" xfId="0" applyNumberFormat="1" applyFont="1" applyAlignment="1">
      <alignment horizontal="center"/>
    </xf>
    <xf numFmtId="2" fontId="0" fillId="0" borderId="0" xfId="0" applyNumberFormat="1" applyFont="1" applyAlignment="1">
      <alignment horizontal="left"/>
    </xf>
    <xf numFmtId="0" fontId="1" fillId="0" borderId="0" xfId="0" applyNumberFormat="1" applyFont="1" applyBorder="1" applyAlignment="1">
      <alignment horizontal="left"/>
    </xf>
    <xf numFmtId="0" fontId="0" fillId="0" borderId="0" xfId="0" applyNumberFormat="1" applyFont="1" applyFill="1" applyAlignment="1">
      <alignment horizontal="left"/>
    </xf>
    <xf numFmtId="0" fontId="1" fillId="0" borderId="0" xfId="0" applyFont="1" applyAlignment="1">
      <alignment horizontal="left"/>
    </xf>
    <xf numFmtId="0" fontId="1" fillId="0" borderId="0" xfId="0" applyFont="1"/>
    <xf numFmtId="0" fontId="1" fillId="5" borderId="0" xfId="0" applyFont="1" applyFill="1"/>
    <xf numFmtId="0" fontId="1" fillId="4" borderId="0" xfId="0" applyFont="1" applyFill="1"/>
    <xf numFmtId="0" fontId="1" fillId="0" borderId="0" xfId="0" applyFont="1" applyAlignment="1">
      <alignment horizontal="left"/>
    </xf>
    <xf numFmtId="0" fontId="1" fillId="0" borderId="0" xfId="0" applyFont="1" applyAlignment="1">
      <alignment horizontal="left"/>
    </xf>
    <xf numFmtId="0" fontId="0" fillId="0" borderId="0" xfId="0" applyAlignment="1">
      <alignment horizontal="center"/>
    </xf>
    <xf numFmtId="2" fontId="0" fillId="0" borderId="0" xfId="0" applyNumberFormat="1" applyFont="1" applyAlignment="1">
      <alignment horizontal="left"/>
    </xf>
    <xf numFmtId="2" fontId="1" fillId="0" borderId="0" xfId="0" applyNumberFormat="1" applyFont="1" applyAlignment="1"/>
    <xf numFmtId="2" fontId="1" fillId="0" borderId="2" xfId="0" applyNumberFormat="1" applyFont="1" applyBorder="1" applyAlignment="1"/>
    <xf numFmtId="2" fontId="1" fillId="0" borderId="2" xfId="0" applyNumberFormat="1" applyFont="1" applyBorder="1" applyAlignment="1">
      <alignment horizontal="left"/>
    </xf>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left"/>
    </xf>
    <xf numFmtId="0" fontId="0" fillId="0" borderId="0" xfId="0" applyAlignment="1">
      <alignment wrapText="1"/>
    </xf>
    <xf numFmtId="0" fontId="0" fillId="0" borderId="0" xfId="0" applyAlignment="1">
      <alignment horizontal="left" wrapText="1"/>
    </xf>
    <xf numFmtId="0" fontId="7" fillId="11" borderId="20" xfId="1" applyFont="1" applyAlignment="1">
      <alignment horizontal="center" vertical="center"/>
    </xf>
    <xf numFmtId="0" fontId="8" fillId="12" borderId="21" xfId="2" applyFont="1" applyAlignment="1">
      <alignment horizontal="center" vertical="center"/>
    </xf>
    <xf numFmtId="0" fontId="9" fillId="11" borderId="20" xfId="1" applyFont="1" applyAlignment="1">
      <alignment horizontal="center" vertical="center"/>
    </xf>
    <xf numFmtId="0" fontId="10" fillId="11" borderId="20" xfId="1" applyFont="1" applyAlignment="1">
      <alignment horizontal="center" vertical="center"/>
    </xf>
    <xf numFmtId="0" fontId="6" fillId="12" borderId="20" xfId="3" applyAlignment="1">
      <alignment horizontal="center" vertical="center"/>
    </xf>
    <xf numFmtId="0" fontId="11" fillId="12" borderId="20" xfId="3" applyFont="1" applyAlignment="1">
      <alignment horizontal="center" vertical="center"/>
    </xf>
    <xf numFmtId="0" fontId="12" fillId="12" borderId="20" xfId="3" applyFont="1" applyAlignment="1">
      <alignment horizontal="center" vertical="center"/>
    </xf>
    <xf numFmtId="0" fontId="11" fillId="12" borderId="22" xfId="3" applyFont="1" applyBorder="1" applyAlignment="1">
      <alignment horizontal="center" vertical="center"/>
    </xf>
    <xf numFmtId="0" fontId="12" fillId="12" borderId="22" xfId="3" applyFont="1" applyBorder="1" applyAlignment="1">
      <alignment horizontal="center" vertical="center"/>
    </xf>
    <xf numFmtId="0" fontId="6" fillId="12" borderId="22" xfId="3" applyBorder="1" applyAlignment="1">
      <alignment horizontal="center" vertical="center"/>
    </xf>
    <xf numFmtId="0" fontId="13" fillId="0" borderId="0" xfId="0" applyFont="1" applyAlignment="1">
      <alignment horizontal="left"/>
    </xf>
    <xf numFmtId="0" fontId="15" fillId="0" borderId="0" xfId="0" applyFont="1" applyAlignment="1">
      <alignment horizontal="left"/>
    </xf>
    <xf numFmtId="0" fontId="0" fillId="0" borderId="0" xfId="0" applyAlignment="1">
      <alignment horizontal="center"/>
    </xf>
    <xf numFmtId="0" fontId="15" fillId="0" borderId="0" xfId="0" applyFont="1" applyAlignment="1">
      <alignment horizontal="left"/>
    </xf>
    <xf numFmtId="0" fontId="1" fillId="0" borderId="0" xfId="0" applyFont="1" applyAlignment="1">
      <alignment horizontal="left"/>
    </xf>
    <xf numFmtId="2" fontId="0" fillId="0" borderId="0" xfId="0" applyNumberFormat="1" applyFont="1" applyAlignment="1">
      <alignment horizontal="left"/>
    </xf>
    <xf numFmtId="0" fontId="0" fillId="0" borderId="0" xfId="0" applyFont="1" applyAlignment="1">
      <alignment horizontal="left"/>
    </xf>
    <xf numFmtId="2" fontId="0" fillId="4" borderId="14" xfId="0" applyNumberFormat="1" applyFont="1" applyFill="1" applyBorder="1" applyAlignment="1"/>
    <xf numFmtId="2" fontId="0" fillId="4" borderId="15" xfId="0" applyNumberFormat="1" applyFont="1" applyFill="1" applyBorder="1" applyAlignment="1"/>
    <xf numFmtId="2" fontId="0" fillId="4" borderId="3" xfId="0" applyNumberFormat="1" applyFont="1" applyFill="1" applyBorder="1" applyAlignment="1"/>
    <xf numFmtId="2" fontId="0" fillId="4" borderId="2" xfId="0" applyNumberFormat="1" applyFont="1" applyFill="1" applyBorder="1" applyAlignment="1"/>
    <xf numFmtId="0" fontId="0" fillId="0" borderId="23" xfId="0" applyFont="1" applyBorder="1" applyAlignment="1">
      <alignment horizontal="left"/>
    </xf>
    <xf numFmtId="0" fontId="0" fillId="8" borderId="24" xfId="0" applyFill="1"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1" fillId="9" borderId="6" xfId="0" applyFont="1" applyFill="1" applyBorder="1" applyAlignment="1">
      <alignment horizontal="left"/>
    </xf>
    <xf numFmtId="0" fontId="0" fillId="0" borderId="0" xfId="0" applyFill="1" applyBorder="1" applyAlignment="1">
      <alignment horizontal="left"/>
    </xf>
    <xf numFmtId="0" fontId="1" fillId="0" borderId="14" xfId="0" applyFont="1" applyBorder="1" applyAlignment="1"/>
    <xf numFmtId="0" fontId="1" fillId="0" borderId="3" xfId="0" applyFont="1" applyBorder="1" applyAlignment="1"/>
    <xf numFmtId="165" fontId="0" fillId="0" borderId="5" xfId="0" applyNumberFormat="1" applyFill="1" applyBorder="1" applyAlignment="1">
      <alignment horizontal="left"/>
    </xf>
    <xf numFmtId="165" fontId="0" fillId="0" borderId="2" xfId="0" applyNumberFormat="1" applyFill="1" applyBorder="1" applyAlignment="1">
      <alignment horizontal="left"/>
    </xf>
    <xf numFmtId="0" fontId="0" fillId="0" borderId="0" xfId="0" applyAlignment="1">
      <alignment horizontal="center"/>
    </xf>
    <xf numFmtId="0" fontId="0" fillId="0" borderId="2" xfId="0" applyBorder="1"/>
    <xf numFmtId="0" fontId="1" fillId="0" borderId="2" xfId="0" applyFont="1" applyBorder="1" applyAlignment="1"/>
    <xf numFmtId="165" fontId="0" fillId="0" borderId="2" xfId="0" applyNumberFormat="1" applyBorder="1" applyAlignment="1">
      <alignment horizontal="left"/>
    </xf>
    <xf numFmtId="0" fontId="1" fillId="0" borderId="0" xfId="0" applyFont="1" applyFill="1" applyBorder="1" applyAlignment="1">
      <alignment horizontal="left"/>
    </xf>
    <xf numFmtId="0" fontId="0" fillId="0" borderId="0" xfId="0" applyFont="1" applyFill="1" applyBorder="1" applyAlignment="1">
      <alignment horizontal="left"/>
    </xf>
    <xf numFmtId="0" fontId="1" fillId="0" borderId="15" xfId="0" applyFont="1" applyBorder="1" applyAlignment="1"/>
    <xf numFmtId="0" fontId="1" fillId="9" borderId="2" xfId="0" applyFont="1" applyFill="1" applyBorder="1" applyAlignment="1">
      <alignment horizontal="left"/>
    </xf>
    <xf numFmtId="2" fontId="0" fillId="0" borderId="2" xfId="0" applyNumberFormat="1" applyBorder="1" applyAlignment="1">
      <alignment horizontal="left"/>
    </xf>
    <xf numFmtId="2" fontId="0" fillId="0" borderId="2" xfId="0" applyNumberFormat="1" applyFill="1" applyBorder="1" applyAlignment="1">
      <alignment horizontal="left"/>
    </xf>
    <xf numFmtId="0" fontId="14" fillId="0" borderId="0" xfId="0" applyFont="1"/>
    <xf numFmtId="0" fontId="0" fillId="0" borderId="0" xfId="0" applyAlignment="1">
      <alignment horizontal="center"/>
    </xf>
    <xf numFmtId="0" fontId="15" fillId="0" borderId="0" xfId="0" applyFont="1" applyAlignment="1">
      <alignment horizontal="left"/>
    </xf>
    <xf numFmtId="0" fontId="1" fillId="0" borderId="2" xfId="0" applyFont="1" applyFill="1" applyBorder="1" applyAlignment="1">
      <alignment horizontal="left"/>
    </xf>
    <xf numFmtId="2" fontId="14" fillId="0" borderId="0" xfId="0" applyNumberFormat="1" applyFont="1" applyAlignment="1">
      <alignment horizontal="left"/>
    </xf>
    <xf numFmtId="0" fontId="0" fillId="2" borderId="0" xfId="0" applyFill="1"/>
    <xf numFmtId="0" fontId="0" fillId="3" borderId="0" xfId="0" applyFill="1"/>
    <xf numFmtId="0" fontId="0" fillId="7" borderId="0" xfId="0" applyFill="1"/>
    <xf numFmtId="2" fontId="0" fillId="0" borderId="0" xfId="0" applyNumberFormat="1" applyAlignment="1">
      <alignment horizontal="right"/>
    </xf>
    <xf numFmtId="0" fontId="0" fillId="0" borderId="0" xfId="0" applyFont="1"/>
    <xf numFmtId="0" fontId="15" fillId="0" borderId="0" xfId="0" applyFont="1" applyAlignment="1">
      <alignment horizontal="left"/>
    </xf>
    <xf numFmtId="0" fontId="15" fillId="0" borderId="0" xfId="0" applyFont="1" applyAlignment="1">
      <alignment horizontal="left"/>
    </xf>
    <xf numFmtId="0" fontId="0" fillId="0" borderId="0" xfId="0" applyAlignment="1">
      <alignment vertical="center" wrapText="1"/>
    </xf>
    <xf numFmtId="2" fontId="1" fillId="10" borderId="14" xfId="0" applyNumberFormat="1" applyFont="1" applyFill="1" applyBorder="1" applyAlignment="1">
      <alignment horizontal="center"/>
    </xf>
    <xf numFmtId="2" fontId="1" fillId="10" borderId="3" xfId="0" applyNumberFormat="1" applyFont="1" applyFill="1" applyBorder="1" applyAlignment="1">
      <alignment horizontal="center"/>
    </xf>
    <xf numFmtId="2" fontId="0" fillId="0" borderId="0" xfId="0" applyNumberFormat="1" applyFont="1" applyAlignment="1">
      <alignment horizontal="left"/>
    </xf>
    <xf numFmtId="0" fontId="1" fillId="0" borderId="14" xfId="0" applyFont="1" applyBorder="1" applyAlignment="1">
      <alignment horizontal="center"/>
    </xf>
    <xf numFmtId="0" fontId="1" fillId="0" borderId="3" xfId="0" applyFont="1" applyBorder="1" applyAlignment="1">
      <alignment horizontal="center"/>
    </xf>
    <xf numFmtId="2" fontId="0" fillId="0" borderId="0" xfId="0" applyNumberFormat="1" applyFont="1" applyAlignment="1">
      <alignment horizontal="center" wrapText="1"/>
    </xf>
    <xf numFmtId="0" fontId="1" fillId="0" borderId="2" xfId="0" applyFont="1" applyBorder="1" applyAlignment="1">
      <alignment horizontal="center"/>
    </xf>
    <xf numFmtId="2" fontId="0" fillId="4" borderId="14" xfId="0" applyNumberFormat="1" applyFont="1" applyFill="1" applyBorder="1" applyAlignment="1">
      <alignment horizontal="center"/>
    </xf>
    <xf numFmtId="2" fontId="0" fillId="4" borderId="15" xfId="0" applyNumberFormat="1" applyFont="1" applyFill="1" applyBorder="1" applyAlignment="1">
      <alignment horizontal="center"/>
    </xf>
    <xf numFmtId="2" fontId="0" fillId="4" borderId="3" xfId="0" applyNumberFormat="1" applyFont="1" applyFill="1" applyBorder="1" applyAlignment="1">
      <alignment horizontal="center"/>
    </xf>
    <xf numFmtId="164" fontId="0" fillId="4" borderId="14" xfId="0" applyNumberFormat="1" applyFont="1" applyFill="1" applyBorder="1" applyAlignment="1">
      <alignment horizontal="center"/>
    </xf>
    <xf numFmtId="164" fontId="0" fillId="4" borderId="15" xfId="0" applyNumberFormat="1" applyFont="1" applyFill="1" applyBorder="1" applyAlignment="1">
      <alignment horizontal="center"/>
    </xf>
    <xf numFmtId="164" fontId="0" fillId="4" borderId="3" xfId="0" applyNumberFormat="1" applyFont="1" applyFill="1" applyBorder="1" applyAlignment="1">
      <alignment horizontal="center"/>
    </xf>
    <xf numFmtId="0" fontId="1" fillId="0" borderId="15" xfId="0" applyFont="1" applyBorder="1" applyAlignment="1">
      <alignment horizontal="center"/>
    </xf>
    <xf numFmtId="0" fontId="1" fillId="2" borderId="0" xfId="0" applyFont="1" applyFill="1" applyAlignment="1">
      <alignment horizontal="center"/>
    </xf>
    <xf numFmtId="0" fontId="0" fillId="0" borderId="0" xfId="0" applyAlignment="1">
      <alignment horizontal="center" vertical="center" wrapText="1"/>
    </xf>
    <xf numFmtId="0" fontId="17" fillId="4" borderId="0" xfId="0" applyFont="1" applyFill="1" applyAlignment="1">
      <alignment horizontal="center"/>
    </xf>
    <xf numFmtId="0" fontId="16" fillId="0" borderId="0" xfId="0" applyFont="1" applyAlignment="1">
      <alignment horizontal="center"/>
    </xf>
    <xf numFmtId="0" fontId="0" fillId="2" borderId="0" xfId="0" applyFill="1" applyAlignment="1">
      <alignment horizontal="center"/>
    </xf>
    <xf numFmtId="0" fontId="1" fillId="0" borderId="0" xfId="0" applyFont="1" applyAlignment="1">
      <alignment horizontal="center"/>
    </xf>
    <xf numFmtId="0" fontId="15" fillId="0" borderId="0" xfId="0" applyFont="1" applyAlignment="1">
      <alignment horizontal="left"/>
    </xf>
    <xf numFmtId="0" fontId="0" fillId="5" borderId="0" xfId="0" applyFill="1" applyAlignment="1">
      <alignment horizontal="center"/>
    </xf>
    <xf numFmtId="0" fontId="14" fillId="0" borderId="0" xfId="0" applyFont="1" applyAlignment="1">
      <alignment horizontal="center"/>
    </xf>
    <xf numFmtId="0" fontId="1" fillId="0" borderId="0" xfId="0" applyFont="1" applyAlignment="1">
      <alignment horizontal="left"/>
    </xf>
    <xf numFmtId="0" fontId="0" fillId="0" borderId="0" xfId="0" applyBorder="1" applyAlignment="1">
      <alignment horizontal="center"/>
    </xf>
    <xf numFmtId="0" fontId="0" fillId="0" borderId="10" xfId="0" applyBorder="1" applyAlignment="1">
      <alignment horizontal="center"/>
    </xf>
    <xf numFmtId="0" fontId="1" fillId="0" borderId="12" xfId="0" applyFont="1" applyBorder="1" applyAlignment="1">
      <alignment horizontal="center"/>
    </xf>
    <xf numFmtId="0" fontId="1" fillId="9" borderId="2" xfId="0" applyFont="1" applyFill="1" applyBorder="1" applyAlignment="1">
      <alignment horizontal="center"/>
    </xf>
    <xf numFmtId="0" fontId="0" fillId="0" borderId="0" xfId="0" applyAlignment="1">
      <alignment horizontal="center"/>
    </xf>
    <xf numFmtId="0" fontId="0" fillId="0" borderId="0" xfId="0" applyAlignment="1">
      <alignment horizontal="right"/>
    </xf>
    <xf numFmtId="0" fontId="0" fillId="8" borderId="0" xfId="0" applyFill="1" applyAlignment="1">
      <alignment horizontal="right"/>
    </xf>
    <xf numFmtId="0" fontId="0" fillId="0" borderId="0" xfId="0" applyFill="1" applyAlignment="1">
      <alignment horizontal="right"/>
    </xf>
  </cellXfs>
  <cellStyles count="4">
    <cellStyle name="Calculation" xfId="3" builtinId="22"/>
    <cellStyle name="Input" xfId="1" builtinId="20"/>
    <cellStyle name="Normal" xfId="0" builtinId="0"/>
    <cellStyle name="Output" xfId="2" builtinId="21"/>
  </cellStyles>
  <dxfs count="16">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4"/>
        <color rgb="FFFA7D00"/>
        <name val="Calibri"/>
        <family val="2"/>
        <scheme val="minor"/>
      </font>
      <alignment horizontal="center" vertical="center" textRotation="0" wrapText="0" indent="0" justifyLastLine="0" shrinkToFit="0" readingOrder="0"/>
    </dxf>
    <dxf>
      <border outline="0">
        <bottom style="thin">
          <color rgb="FF7F7F7F"/>
        </bottom>
      </border>
    </dxf>
    <dxf>
      <alignment horizontal="center" vertical="center" textRotation="0" wrapText="0" indent="0" justifyLastLine="0" shrinkToFit="0" readingOrder="0"/>
    </dxf>
    <dxf>
      <alignment horizontal="left" vertical="bottom" textRotation="0" wrapText="1" indent="0" justifyLastLine="0" shrinkToFit="0" readingOrder="0"/>
    </dxf>
    <dxf>
      <font>
        <b/>
        <strike val="0"/>
        <outline val="0"/>
        <shadow val="0"/>
        <u val="none"/>
        <vertAlign val="baseline"/>
        <sz val="14"/>
        <color rgb="FF3F3F3F"/>
        <name val="Calibri"/>
        <family val="2"/>
        <scheme val="minor"/>
      </font>
      <alignment horizontal="center" vertical="center" textRotation="0" wrapText="0" indent="0" justifyLastLine="0" shrinkToFit="0" readingOrder="0"/>
      <border outline="0">
        <left style="thin">
          <color rgb="FF3F3F3F"/>
        </left>
      </border>
    </dxf>
    <dxf>
      <font>
        <strike val="0"/>
        <outline val="0"/>
        <shadow val="0"/>
        <u val="none"/>
        <vertAlign val="baseline"/>
        <sz val="14"/>
        <color rgb="FF3F3F3F"/>
        <name val="Calibri"/>
        <family val="2"/>
        <scheme val="minor"/>
      </font>
      <alignment horizontal="center" vertical="center" textRotation="0" wrapText="0" indent="0" justifyLastLine="0" shrinkToFit="0" readingOrder="0"/>
      <border outline="0">
        <left style="thin">
          <color rgb="FF3F3F3F"/>
        </left>
      </border>
    </dxf>
    <dxf>
      <font>
        <strike val="0"/>
        <outline val="0"/>
        <shadow val="0"/>
        <u val="none"/>
        <vertAlign val="baseline"/>
        <sz val="14"/>
        <color rgb="FF3F3F3F"/>
        <name val="Calibri"/>
        <family val="2"/>
        <scheme val="minor"/>
      </font>
      <alignment horizontal="center" vertical="center" textRotation="0" wrapText="0" indent="0" justifyLastLine="0" shrinkToFit="0" readingOrder="0"/>
      <border outline="0">
        <left style="thin">
          <color rgb="FF3F3F3F"/>
        </left>
        <right style="thin">
          <color rgb="FF3F3F3F"/>
        </right>
      </border>
    </dxf>
    <dxf>
      <font>
        <strike val="0"/>
        <outline val="0"/>
        <shadow val="0"/>
        <u val="none"/>
        <vertAlign val="baseline"/>
        <sz val="14"/>
        <color rgb="FF3F3F3F"/>
        <name val="Calibri"/>
        <family val="2"/>
        <scheme val="minor"/>
      </font>
      <alignment horizontal="center" vertical="center" textRotation="0" wrapText="0" indent="0" justifyLastLine="0" shrinkToFit="0" readingOrder="0"/>
      <border outline="0">
        <right style="thin">
          <color rgb="FF3F3F3F"/>
        </right>
      </border>
    </dxf>
    <dxf>
      <font>
        <strike val="0"/>
        <outline val="0"/>
        <shadow val="0"/>
        <u val="none"/>
        <vertAlign val="baseline"/>
        <sz val="18"/>
        <name val="Calibri"/>
        <family val="2"/>
        <scheme val="minor"/>
      </font>
      <alignment horizontal="center" vertical="center" textRotation="0" wrapText="0" indent="0" justifyLastLine="0" shrinkToFit="0" readingOrder="0"/>
      <border outline="0">
        <right style="thin">
          <color rgb="FF3F3F3F"/>
        </right>
      </border>
    </dxf>
    <dxf>
      <border outline="0">
        <bottom style="thin">
          <color rgb="FF7F7F7F"/>
        </bottom>
      </border>
    </dxf>
    <dxf>
      <alignment horizontal="center" vertical="center"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75D3B6-E4C8-4196-B7AE-80D2AE3A905F}" name="IslandSize" displayName="IslandSize" ref="B4:F29" totalsRowShown="0" headerRowDxfId="15" dataDxfId="14" tableBorderDxfId="13" headerRowCellStyle="Normal" dataCellStyle="Calculation">
  <autoFilter ref="B4:F29" xr:uid="{E575D3B6-E4C8-4196-B7AE-80D2AE3A905F}"/>
  <tableColumns count="5">
    <tableColumn id="1" xr3:uid="{427091B0-ACBC-48FC-BC4D-B74267AF2738}" name="Island size (e.g. 12)" dataDxfId="12" dataCellStyle="Calculation">
      <calculatedColumnFormula>B4+2</calculatedColumnFormula>
    </tableColumn>
    <tableColumn id="2" xr3:uid="{42C6372D-E169-4524-B05D-8FDDF7BCFE1C}" name="Estimated land area" dataDxfId="11" dataCellStyle="Output">
      <calculatedColumnFormula>ROUNDUP(((B5-2)^2)-(4*(B5-3)*50%)-(4*(B5-4)*25%),0)</calculatedColumnFormula>
    </tableColumn>
    <tableColumn id="3" xr3:uid="{84FD2890-8EB1-44B3-B9E1-8F206E5B83BA}" name="Estimated water perimeter area" dataDxfId="10" dataCellStyle="Output">
      <calculatedColumnFormula>ROUNDUP((((B5-1)*4*25%)*2)+((B5-1)*4),0)</calculatedColumnFormula>
    </tableColumn>
    <tableColumn id="4" xr3:uid="{ED6F7055-8AFC-436F-88BA-E86350AF4555}" name="Estimated Mountain area" dataDxfId="9" dataCellStyle="Output">
      <calculatedColumnFormula>ROUNDUP(C5*10%,0)</calculatedColumnFormula>
    </tableColumn>
    <tableColumn id="5" xr3:uid="{FCB53B7B-19DE-40C7-B306-4F342C4F705C}" name="Favor on conquest and handover" dataDxfId="8" dataCellStyle="Output">
      <calculatedColumnFormula>2^((B5/2)-6)</calculatedColumnFormula>
    </tableColumn>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48054E-10B7-4CAD-AB0E-06EA4CD9FB4F}" name="IslandUnlock" displayName="IslandUnlock" ref="H4:L35" totalsRowShown="0" headerRowDxfId="7" dataDxfId="6" tableBorderDxfId="5" headerRowCellStyle="Normal" dataCellStyle="Calculation">
  <autoFilter ref="H4:L35" xr:uid="{F948054E-10B7-4CAD-AB0E-06EA4CD9FB4F}"/>
  <tableColumns count="5">
    <tableColumn id="1" xr3:uid="{E7B3C109-8FAC-411A-93A4-3BD4B3DD103B}" name="Island number" dataDxfId="4" dataCellStyle="Calculation">
      <calculatedColumnFormula>H4+1</calculatedColumnFormula>
    </tableColumn>
    <tableColumn id="2" xr3:uid="{0D343943-60B0-4770-AE8F-597C4629C577}" name="Favor needed" dataDxfId="3" dataCellStyle="Calculation">
      <calculatedColumnFormula>2^(J4+1)-1</calculatedColumnFormula>
    </tableColumn>
    <tableColumn id="3" xr3:uid="{40AFC707-8EBC-40AE-B76A-1F05BD1469BD}" name="Power of 2" dataDxfId="2" dataCellStyle="Calculation">
      <calculatedColumnFormula>LOG(I5+1,2)</calculatedColumnFormula>
    </tableColumn>
    <tableColumn id="4" xr3:uid="{A03BA3E8-BFA8-4765-AA1D-A5C813E50F7F}" name="Step" dataDxfId="1" dataCellStyle="Calculation">
      <calculatedColumnFormula>IFERROR(MAX(0,I6-I5),0)</calculatedColumnFormula>
    </tableColumn>
    <tableColumn id="5" xr3:uid="{FB0DAABB-6920-4AC4-B4B3-263A312EB53C}" name="Equivalent handover island size" dataDxfId="0" dataCellStyle="Calculation">
      <calculatedColumnFormula>IFERROR(INDEX(IslandSize[Island size (e.g. 12)],MATCH(K5,IslandSize[Favor on conquest and handover],0)),"-")</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E5A05-608D-424F-B17F-F2A521A038E7}">
  <dimension ref="B1:BH140"/>
  <sheetViews>
    <sheetView tabSelected="1" zoomScaleNormal="100" workbookViewId="0">
      <selection activeCell="H19" sqref="H19"/>
    </sheetView>
  </sheetViews>
  <sheetFormatPr defaultRowHeight="15" x14ac:dyDescent="0.25"/>
  <cols>
    <col min="1" max="1" width="6.28515625" style="8" customWidth="1"/>
    <col min="2" max="2" width="30.7109375" style="7" customWidth="1"/>
    <col min="3" max="3" width="5.7109375" style="7" customWidth="1"/>
    <col min="4" max="5" width="15.7109375" style="9" customWidth="1"/>
    <col min="6" max="6" width="20.7109375" style="9" bestFit="1" customWidth="1"/>
    <col min="7" max="7" width="20.7109375" style="9" customWidth="1"/>
    <col min="8" max="10" width="19" style="9" bestFit="1" customWidth="1"/>
    <col min="11" max="26" width="15.7109375" style="9" customWidth="1"/>
    <col min="27" max="29" width="9.140625" style="9"/>
    <col min="30" max="16384" width="9.140625" style="8"/>
  </cols>
  <sheetData>
    <row r="1" spans="2:60" ht="15.75" thickBot="1" x14ac:dyDescent="0.3">
      <c r="D1" s="38"/>
      <c r="E1" s="38"/>
      <c r="F1" s="38"/>
      <c r="G1" s="38"/>
      <c r="H1" s="38"/>
      <c r="I1" s="38"/>
      <c r="J1" s="38"/>
      <c r="K1" s="38"/>
      <c r="L1" s="38"/>
      <c r="M1" s="38"/>
      <c r="N1" s="38"/>
      <c r="O1" s="38"/>
      <c r="P1" s="38"/>
      <c r="Q1" s="38"/>
      <c r="R1" s="38"/>
      <c r="S1" s="38"/>
      <c r="T1" s="38"/>
      <c r="U1" s="38"/>
      <c r="V1" s="38"/>
      <c r="W1" s="38"/>
      <c r="X1" s="38"/>
      <c r="Y1" s="38"/>
      <c r="Z1" s="38"/>
      <c r="AA1" s="38"/>
      <c r="AB1" s="38"/>
      <c r="AC1" s="38"/>
    </row>
    <row r="2" spans="2:60" ht="15.75" thickBot="1" x14ac:dyDescent="0.3">
      <c r="B2" s="3" t="s">
        <v>308</v>
      </c>
      <c r="C2" s="86"/>
      <c r="D2" s="4" t="s">
        <v>0</v>
      </c>
      <c r="E2" s="38"/>
      <c r="F2" s="38"/>
      <c r="G2" s="33" t="s">
        <v>174</v>
      </c>
      <c r="J2" s="17"/>
      <c r="K2" s="150" t="s">
        <v>347</v>
      </c>
      <c r="N2" s="38"/>
      <c r="O2" s="38"/>
      <c r="P2" s="38"/>
      <c r="Q2" s="38"/>
      <c r="R2" s="38"/>
      <c r="S2" s="38"/>
      <c r="T2" s="38"/>
      <c r="U2" s="38"/>
      <c r="V2" s="38"/>
      <c r="W2" s="38"/>
      <c r="X2" s="38"/>
      <c r="Y2" s="38"/>
      <c r="Z2" s="38"/>
      <c r="AA2" s="38"/>
      <c r="AB2" s="38"/>
      <c r="AC2" s="8"/>
    </row>
    <row r="3" spans="2:60" x14ac:dyDescent="0.25">
      <c r="B3" s="64">
        <v>0</v>
      </c>
      <c r="C3" s="87"/>
      <c r="D3" s="10">
        <f>B3*5</f>
        <v>0</v>
      </c>
      <c r="E3" s="38"/>
      <c r="F3" s="38"/>
      <c r="G3" s="34"/>
      <c r="H3" s="9" t="s">
        <v>141</v>
      </c>
      <c r="J3" s="17"/>
      <c r="N3" s="38"/>
      <c r="O3" s="38"/>
      <c r="P3" s="38"/>
      <c r="Q3" s="38"/>
      <c r="R3" s="38"/>
      <c r="S3" s="38"/>
      <c r="T3" s="38"/>
      <c r="U3" s="38"/>
      <c r="V3" s="38"/>
      <c r="W3" s="38"/>
      <c r="X3" s="38"/>
      <c r="Y3" s="38"/>
      <c r="Z3" s="38"/>
      <c r="AA3" s="38"/>
      <c r="AB3" s="38"/>
      <c r="AC3" s="8"/>
    </row>
    <row r="4" spans="2:60" x14ac:dyDescent="0.25">
      <c r="D4" s="10"/>
      <c r="E4" s="38"/>
      <c r="F4" s="38"/>
      <c r="G4" s="32"/>
      <c r="H4" s="9" t="s">
        <v>142</v>
      </c>
      <c r="J4" s="17"/>
      <c r="N4" s="38"/>
      <c r="O4" s="38"/>
      <c r="P4" s="38"/>
      <c r="Q4" s="38"/>
      <c r="R4" s="38"/>
      <c r="S4" s="38"/>
      <c r="T4" s="38"/>
      <c r="U4" s="38"/>
      <c r="V4" s="38"/>
      <c r="W4" s="38"/>
      <c r="X4" s="38"/>
      <c r="Y4" s="38"/>
      <c r="Z4" s="38"/>
      <c r="AA4" s="38"/>
      <c r="AB4" s="38"/>
      <c r="AC4" s="8"/>
    </row>
    <row r="5" spans="2:60" x14ac:dyDescent="0.25">
      <c r="D5" s="5"/>
      <c r="E5" s="38"/>
      <c r="F5" s="38"/>
      <c r="G5" s="35"/>
      <c r="H5" s="161" t="s">
        <v>143</v>
      </c>
      <c r="I5" s="161"/>
      <c r="J5" s="161"/>
      <c r="N5" s="38"/>
      <c r="O5" s="38"/>
      <c r="P5" s="38"/>
      <c r="Q5" s="38"/>
      <c r="R5" s="38"/>
      <c r="S5" s="38"/>
      <c r="T5" s="38"/>
      <c r="U5" s="38"/>
      <c r="V5" s="38"/>
      <c r="W5" s="38"/>
      <c r="X5" s="38"/>
      <c r="Y5" s="38"/>
      <c r="Z5" s="38"/>
      <c r="AA5" s="38"/>
      <c r="AB5" s="38"/>
      <c r="AC5" s="8"/>
    </row>
    <row r="6" spans="2:60" x14ac:dyDescent="0.25">
      <c r="D6" s="10"/>
      <c r="E6" s="38"/>
      <c r="F6" s="38"/>
      <c r="G6" s="65"/>
      <c r="H6" s="38" t="s">
        <v>173</v>
      </c>
      <c r="I6" s="38"/>
      <c r="J6" s="38"/>
      <c r="N6" s="38"/>
      <c r="O6" s="38"/>
      <c r="P6" s="38"/>
      <c r="Q6" s="38"/>
      <c r="R6" s="38"/>
      <c r="S6" s="38"/>
      <c r="T6" s="38"/>
      <c r="U6" s="38"/>
      <c r="V6" s="38"/>
      <c r="W6" s="38"/>
      <c r="X6" s="38"/>
      <c r="Y6" s="38"/>
      <c r="Z6" s="38"/>
      <c r="AA6" s="38"/>
      <c r="AB6" s="38"/>
      <c r="AC6" s="8"/>
    </row>
    <row r="7" spans="2:60" x14ac:dyDescent="0.25">
      <c r="D7" s="10"/>
      <c r="E7" s="38"/>
      <c r="F7" s="38"/>
      <c r="G7" s="38"/>
      <c r="H7" s="38"/>
      <c r="I7" s="38"/>
      <c r="J7" s="38"/>
      <c r="K7" s="38"/>
      <c r="L7" s="38"/>
      <c r="M7" s="38"/>
      <c r="N7" s="38"/>
      <c r="O7" s="38"/>
      <c r="P7" s="38"/>
      <c r="Q7" s="38"/>
      <c r="R7" s="38"/>
      <c r="S7" s="38"/>
      <c r="T7" s="38"/>
      <c r="U7" s="38"/>
      <c r="V7" s="38"/>
      <c r="W7" s="38"/>
      <c r="X7" s="38"/>
      <c r="Y7" s="38"/>
      <c r="Z7" s="38"/>
      <c r="AA7" s="38"/>
      <c r="AB7" s="38"/>
      <c r="AC7" s="8"/>
    </row>
    <row r="8" spans="2:60" x14ac:dyDescent="0.25">
      <c r="D8" s="4" t="s">
        <v>264</v>
      </c>
      <c r="E8" s="38"/>
      <c r="F8" s="38"/>
      <c r="G8" s="82" t="s">
        <v>181</v>
      </c>
      <c r="H8" s="38"/>
      <c r="I8" s="38"/>
      <c r="J8" s="38"/>
      <c r="K8" s="38"/>
      <c r="L8" s="38"/>
      <c r="M8" s="38"/>
      <c r="N8" s="38"/>
      <c r="O8" s="38"/>
      <c r="P8" s="38"/>
      <c r="Q8" s="38"/>
      <c r="R8" s="38"/>
      <c r="S8" s="38"/>
      <c r="T8" s="38"/>
      <c r="U8" s="38"/>
      <c r="V8" s="38"/>
      <c r="W8" s="38"/>
      <c r="X8" s="38"/>
      <c r="Y8" s="38"/>
      <c r="Z8" s="38"/>
      <c r="AA8" s="38"/>
      <c r="AB8" s="38"/>
      <c r="AC8" s="8"/>
    </row>
    <row r="9" spans="2:60" x14ac:dyDescent="0.25">
      <c r="D9" s="10">
        <f>D3/'Output ref'!C4</f>
        <v>0</v>
      </c>
      <c r="E9" s="38"/>
      <c r="F9" s="38"/>
      <c r="G9" s="38"/>
      <c r="H9" s="38"/>
      <c r="I9" s="38"/>
      <c r="J9" s="38"/>
      <c r="K9" s="38"/>
      <c r="L9" s="38"/>
      <c r="M9" s="38"/>
      <c r="N9" s="38"/>
      <c r="O9" s="38"/>
      <c r="P9" s="38"/>
      <c r="Q9" s="38"/>
      <c r="R9" s="38"/>
      <c r="S9" s="38"/>
      <c r="T9" s="38"/>
      <c r="U9" s="38"/>
      <c r="V9" s="38"/>
      <c r="W9" s="38"/>
      <c r="X9" s="38"/>
      <c r="Y9" s="38"/>
      <c r="Z9" s="38"/>
      <c r="AA9" s="38"/>
      <c r="AB9" s="38"/>
      <c r="AC9" s="8"/>
    </row>
    <row r="10" spans="2:60" ht="15" customHeight="1" x14ac:dyDescent="0.25">
      <c r="D10" s="10"/>
      <c r="E10" s="38"/>
      <c r="F10" s="38"/>
      <c r="G10" s="164" t="s">
        <v>292</v>
      </c>
      <c r="H10" s="164"/>
      <c r="I10" s="164"/>
      <c r="J10" s="164"/>
      <c r="K10" s="164"/>
      <c r="L10" s="164"/>
      <c r="M10" s="164"/>
      <c r="N10" s="164"/>
      <c r="O10" s="164"/>
      <c r="P10" s="38"/>
      <c r="Q10" s="38"/>
      <c r="R10" s="38"/>
      <c r="S10" s="38"/>
      <c r="T10" s="38"/>
      <c r="U10" s="38"/>
      <c r="V10" s="38"/>
      <c r="W10" s="38"/>
      <c r="X10" s="38"/>
      <c r="Y10" s="38"/>
      <c r="Z10" s="38"/>
      <c r="AA10" s="38"/>
      <c r="AB10" s="38"/>
      <c r="AC10" s="8"/>
    </row>
    <row r="11" spans="2:60" x14ac:dyDescent="0.25">
      <c r="D11" s="5"/>
      <c r="G11" s="164"/>
      <c r="H11" s="164"/>
      <c r="I11" s="164"/>
      <c r="J11" s="164"/>
      <c r="K11" s="164"/>
      <c r="L11" s="164"/>
      <c r="M11" s="164"/>
      <c r="N11" s="164"/>
      <c r="O11" s="164"/>
      <c r="P11" s="14"/>
      <c r="Q11" s="14"/>
      <c r="R11" s="14"/>
      <c r="S11" s="14"/>
      <c r="T11" s="14"/>
      <c r="U11" s="14"/>
      <c r="V11" s="14"/>
      <c r="W11" s="14"/>
      <c r="X11" s="14"/>
      <c r="Y11" s="14"/>
      <c r="Z11" s="14"/>
      <c r="AA11" s="14"/>
      <c r="AB11" s="14"/>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6"/>
    </row>
    <row r="12" spans="2:60" x14ac:dyDescent="0.25">
      <c r="D12" s="10"/>
      <c r="E12" s="38"/>
      <c r="F12" s="38"/>
      <c r="G12" s="164"/>
      <c r="H12" s="164"/>
      <c r="I12" s="164"/>
      <c r="J12" s="164"/>
      <c r="K12" s="164"/>
      <c r="L12" s="164"/>
      <c r="M12" s="164"/>
      <c r="N12" s="164"/>
      <c r="O12" s="164"/>
      <c r="P12" s="14"/>
      <c r="Q12" s="14"/>
      <c r="R12" s="14"/>
      <c r="S12" s="14"/>
      <c r="T12" s="14"/>
      <c r="U12" s="14"/>
      <c r="V12" s="14"/>
      <c r="W12" s="14"/>
      <c r="X12" s="14"/>
      <c r="Y12" s="14"/>
      <c r="Z12" s="14"/>
      <c r="AA12" s="14"/>
      <c r="AB12" s="14"/>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6"/>
    </row>
    <row r="13" spans="2:60" ht="15.75" thickBot="1" x14ac:dyDescent="0.3">
      <c r="B13" s="28"/>
      <c r="C13" s="28"/>
      <c r="D13" s="23"/>
      <c r="E13" s="23"/>
      <c r="I13" s="39"/>
      <c r="J13" s="39"/>
      <c r="K13" s="39"/>
      <c r="L13" s="39"/>
      <c r="M13" s="39"/>
      <c r="N13" s="39"/>
      <c r="P13" s="14"/>
      <c r="Q13" s="14"/>
      <c r="R13" s="14"/>
      <c r="S13" s="14"/>
      <c r="T13" s="14"/>
      <c r="U13" s="14"/>
      <c r="V13" s="14"/>
      <c r="W13" s="14"/>
      <c r="X13" s="14"/>
      <c r="Y13" s="14"/>
      <c r="Z13" s="14"/>
      <c r="AA13" s="14"/>
      <c r="AB13" s="14"/>
      <c r="AC13" s="14"/>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6"/>
    </row>
    <row r="14" spans="2:60" ht="15.75" thickBot="1" x14ac:dyDescent="0.3">
      <c r="B14" s="3" t="s">
        <v>309</v>
      </c>
      <c r="C14" s="86"/>
      <c r="D14" s="4" t="s">
        <v>0</v>
      </c>
      <c r="E14" s="4" t="s">
        <v>3</v>
      </c>
      <c r="I14" s="39"/>
      <c r="J14" s="39"/>
      <c r="K14" s="39"/>
      <c r="L14" s="39"/>
      <c r="M14" s="8"/>
      <c r="N14" s="39"/>
      <c r="P14" s="14"/>
      <c r="Q14" s="14"/>
      <c r="R14" s="14"/>
      <c r="S14" s="14"/>
      <c r="T14" s="14"/>
      <c r="U14" s="14"/>
      <c r="V14" s="14"/>
      <c r="W14" s="14"/>
      <c r="X14" s="14"/>
      <c r="Y14" s="14"/>
      <c r="Z14" s="14"/>
      <c r="AA14" s="14"/>
      <c r="AB14" s="14"/>
      <c r="AC14" s="14"/>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6"/>
    </row>
    <row r="15" spans="2:60" x14ac:dyDescent="0.25">
      <c r="B15" s="64"/>
      <c r="C15" s="87"/>
      <c r="D15" s="10">
        <f>B15*20</f>
        <v>0</v>
      </c>
      <c r="E15" s="10">
        <f>B15*5</f>
        <v>0</v>
      </c>
      <c r="I15" s="95"/>
      <c r="J15" s="95"/>
      <c r="K15" s="95"/>
      <c r="L15" s="95"/>
      <c r="M15" s="8"/>
      <c r="N15" s="39"/>
      <c r="P15" s="14"/>
      <c r="Q15" s="14"/>
      <c r="R15" s="14"/>
      <c r="S15" s="14"/>
      <c r="T15" s="14"/>
      <c r="U15" s="14"/>
      <c r="V15" s="14"/>
      <c r="W15" s="14"/>
      <c r="X15" s="14"/>
      <c r="Y15" s="14"/>
      <c r="Z15" s="14"/>
      <c r="AA15" s="14"/>
      <c r="AB15" s="14"/>
      <c r="AC15" s="14"/>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6"/>
    </row>
    <row r="16" spans="2:60" x14ac:dyDescent="0.25">
      <c r="D16" s="10"/>
      <c r="E16" s="10"/>
      <c r="I16" s="96"/>
      <c r="J16" s="159" t="s">
        <v>279</v>
      </c>
      <c r="K16" s="160"/>
      <c r="L16" s="97" t="s">
        <v>34</v>
      </c>
      <c r="M16" s="97" t="s">
        <v>193</v>
      </c>
      <c r="N16" s="98" t="s">
        <v>194</v>
      </c>
      <c r="O16" s="98" t="s">
        <v>250</v>
      </c>
      <c r="P16" s="14"/>
      <c r="Q16" s="14"/>
      <c r="R16" s="14"/>
      <c r="S16" s="14"/>
      <c r="T16" s="14"/>
      <c r="U16" s="14"/>
      <c r="V16" s="14"/>
      <c r="W16" s="14"/>
      <c r="X16" s="14"/>
      <c r="Y16" s="14"/>
      <c r="Z16" s="14"/>
      <c r="AA16" s="14"/>
      <c r="AB16" s="14"/>
      <c r="AC16" s="14"/>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6"/>
    </row>
    <row r="17" spans="2:60" x14ac:dyDescent="0.25">
      <c r="B17" s="2" t="s">
        <v>187</v>
      </c>
      <c r="C17" s="84"/>
      <c r="D17" s="5"/>
      <c r="E17" s="4" t="s">
        <v>4</v>
      </c>
      <c r="I17" s="39"/>
      <c r="J17" s="122"/>
      <c r="K17" s="123"/>
      <c r="L17" s="125"/>
      <c r="M17" s="122"/>
      <c r="N17" s="123"/>
      <c r="O17" s="124"/>
      <c r="P17" s="14"/>
      <c r="Q17" s="14"/>
      <c r="R17" s="14"/>
      <c r="S17" s="14"/>
      <c r="T17" s="14"/>
      <c r="U17" s="14"/>
      <c r="V17" s="14"/>
      <c r="W17" s="14"/>
      <c r="X17" s="14"/>
      <c r="Y17" s="14"/>
      <c r="Z17" s="14"/>
      <c r="AA17" s="14"/>
      <c r="AB17" s="14"/>
      <c r="AC17" s="14"/>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6"/>
    </row>
    <row r="18" spans="2:60" x14ac:dyDescent="0.25">
      <c r="B18" s="7">
        <f>B15*1.6875</f>
        <v>0</v>
      </c>
      <c r="D18" s="10"/>
      <c r="E18" s="10">
        <f>E15/'Output ref'!D7</f>
        <v>0</v>
      </c>
      <c r="I18" s="39"/>
      <c r="J18" s="72" t="s">
        <v>6</v>
      </c>
      <c r="K18" s="41" t="s">
        <v>9</v>
      </c>
      <c r="L18" s="10">
        <f>(H30*20)+(H36*5)+((H36/7.5)*20)</f>
        <v>0</v>
      </c>
      <c r="M18" s="20"/>
      <c r="N18" s="10"/>
      <c r="O18" s="10"/>
      <c r="P18" s="14"/>
      <c r="Q18" s="14"/>
      <c r="R18" s="14"/>
      <c r="S18" s="14"/>
      <c r="T18" s="14"/>
      <c r="U18" s="14"/>
      <c r="V18" s="14"/>
      <c r="W18" s="14"/>
      <c r="X18" s="14"/>
      <c r="Y18" s="14"/>
      <c r="Z18" s="14"/>
      <c r="AA18" s="14"/>
      <c r="AB18" s="14"/>
      <c r="AC18" s="14"/>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6"/>
    </row>
    <row r="19" spans="2:60" x14ac:dyDescent="0.25">
      <c r="D19" s="10"/>
      <c r="E19" s="10"/>
      <c r="I19" s="39"/>
      <c r="J19" s="40"/>
      <c r="K19" s="5" t="s">
        <v>8</v>
      </c>
      <c r="L19" s="10">
        <f>((G30+G33)*20)+(G36*5)+((G36/7.5)*20)</f>
        <v>0</v>
      </c>
      <c r="M19" s="10"/>
      <c r="N19" s="10"/>
      <c r="O19" s="10"/>
      <c r="P19" s="14"/>
      <c r="Q19" s="14"/>
      <c r="R19" s="14"/>
      <c r="S19" s="14"/>
      <c r="T19" s="14"/>
      <c r="U19" s="14"/>
      <c r="V19" s="14"/>
      <c r="W19" s="14"/>
      <c r="X19" s="14"/>
      <c r="Y19" s="14"/>
      <c r="Z19" s="14"/>
      <c r="AA19" s="14"/>
      <c r="AB19" s="14"/>
      <c r="AC19" s="14"/>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6"/>
    </row>
    <row r="20" spans="2:60" x14ac:dyDescent="0.25">
      <c r="D20" s="4" t="s">
        <v>264</v>
      </c>
      <c r="E20" s="4" t="s">
        <v>265</v>
      </c>
      <c r="I20" s="39"/>
      <c r="J20" s="169"/>
      <c r="K20" s="170"/>
      <c r="L20" s="170"/>
      <c r="M20" s="170"/>
      <c r="N20" s="170"/>
      <c r="O20" s="171"/>
      <c r="P20" s="14"/>
      <c r="Q20" s="14"/>
      <c r="R20" s="14"/>
      <c r="S20" s="14"/>
      <c r="T20" s="14"/>
      <c r="U20" s="14"/>
      <c r="V20" s="14"/>
      <c r="W20" s="14"/>
      <c r="X20" s="14"/>
      <c r="Y20" s="14"/>
      <c r="Z20" s="14"/>
      <c r="AA20" s="14"/>
      <c r="AB20" s="14"/>
      <c r="AC20" s="14"/>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6"/>
    </row>
    <row r="21" spans="2:60" x14ac:dyDescent="0.25">
      <c r="D21" s="10">
        <f>D15/'Output ref'!C4</f>
        <v>0</v>
      </c>
      <c r="E21" s="10">
        <f>E24/'Output ref'!D4</f>
        <v>0</v>
      </c>
      <c r="I21" s="39"/>
      <c r="J21" s="73" t="s">
        <v>16</v>
      </c>
      <c r="K21" s="5" t="s">
        <v>9</v>
      </c>
      <c r="L21" s="10">
        <f>(J45*20)+(J51*5)+((J51/7.5)*20)</f>
        <v>0</v>
      </c>
      <c r="M21" s="10"/>
      <c r="N21" s="10"/>
      <c r="O21" s="10"/>
      <c r="P21" s="14"/>
      <c r="Q21" s="14"/>
      <c r="R21" s="14"/>
      <c r="S21" s="14"/>
      <c r="T21" s="14"/>
      <c r="U21" s="14"/>
      <c r="V21" s="14"/>
      <c r="W21" s="14"/>
      <c r="X21" s="14"/>
      <c r="Y21" s="14"/>
      <c r="Z21" s="14"/>
      <c r="AA21" s="14"/>
      <c r="AB21" s="14"/>
      <c r="AC21" s="14"/>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6"/>
    </row>
    <row r="22" spans="2:60" x14ac:dyDescent="0.25">
      <c r="D22" s="10"/>
      <c r="E22" s="10"/>
      <c r="I22" s="39"/>
      <c r="J22" s="40"/>
      <c r="K22" s="5" t="s">
        <v>8</v>
      </c>
      <c r="L22" s="10">
        <f>((I45+I48)*20)+(I51*5)+((I51/7.5)*20)</f>
        <v>0</v>
      </c>
      <c r="M22" s="10"/>
      <c r="N22" s="10"/>
      <c r="O22" s="10"/>
      <c r="P22" s="14"/>
      <c r="Q22" s="14"/>
      <c r="R22" s="14"/>
      <c r="S22" s="14"/>
      <c r="T22" s="14"/>
      <c r="U22" s="14"/>
      <c r="V22" s="14"/>
      <c r="W22" s="14"/>
      <c r="X22" s="14"/>
      <c r="Y22" s="14"/>
      <c r="Z22" s="14"/>
      <c r="AA22" s="14"/>
      <c r="AB22" s="14"/>
      <c r="AC22" s="14"/>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6"/>
    </row>
    <row r="23" spans="2:60" x14ac:dyDescent="0.25">
      <c r="D23" s="5"/>
      <c r="E23" s="4" t="s">
        <v>2</v>
      </c>
      <c r="I23" s="39"/>
      <c r="J23" s="10"/>
      <c r="K23" s="43" t="s">
        <v>20</v>
      </c>
      <c r="L23" s="10">
        <f>((M45+M48)*100)+(M51*100)</f>
        <v>0</v>
      </c>
      <c r="M23" s="20">
        <f>(M51*60)+(M48*40)+(M45*60)</f>
        <v>0</v>
      </c>
      <c r="N23" s="10">
        <f>(M51*20)+(M48*10)+(M45*20)</f>
        <v>0</v>
      </c>
      <c r="O23" s="10"/>
      <c r="P23" s="14"/>
      <c r="Q23" s="14"/>
      <c r="R23" s="14"/>
      <c r="S23" s="14"/>
      <c r="T23" s="14"/>
      <c r="U23" s="14"/>
      <c r="V23" s="14"/>
      <c r="W23" s="14"/>
      <c r="X23" s="14"/>
      <c r="Y23" s="14"/>
      <c r="Z23" s="14"/>
      <c r="AA23" s="14"/>
      <c r="AB23" s="14"/>
      <c r="AC23" s="14"/>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6"/>
    </row>
    <row r="24" spans="2:60" x14ac:dyDescent="0.25">
      <c r="D24" s="10"/>
      <c r="E24" s="10">
        <f>E15*2</f>
        <v>0</v>
      </c>
      <c r="I24" s="39"/>
      <c r="J24" s="10"/>
      <c r="K24" s="43" t="s">
        <v>19</v>
      </c>
      <c r="L24" s="10">
        <f>(K45*100)+((K51/7.5)*100)+((L51/2.75)*100)</f>
        <v>0</v>
      </c>
      <c r="M24" s="10">
        <f>(K45*60)+((K51/7.5)*20)+((L51/2.75)*40)</f>
        <v>0</v>
      </c>
      <c r="N24" s="10">
        <f>(K45*20)+((K51/7.5)*5)+((L51/2.75)*10)</f>
        <v>0</v>
      </c>
      <c r="O24" s="20"/>
      <c r="P24" s="14"/>
      <c r="Q24" s="14"/>
      <c r="R24" s="14"/>
      <c r="S24" s="14"/>
      <c r="T24" s="14"/>
      <c r="U24" s="14"/>
      <c r="V24" s="14"/>
      <c r="W24" s="14"/>
      <c r="X24" s="14"/>
      <c r="Y24" s="14"/>
      <c r="Z24" s="14"/>
      <c r="AA24" s="14"/>
      <c r="AB24" s="14"/>
      <c r="AC24" s="14"/>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6"/>
    </row>
    <row r="25" spans="2:60" ht="15.75" thickBot="1" x14ac:dyDescent="0.3">
      <c r="B25" s="28"/>
      <c r="C25" s="28"/>
      <c r="D25" s="23"/>
      <c r="E25" s="23"/>
      <c r="I25" s="39"/>
      <c r="J25" s="10"/>
      <c r="K25" s="42" t="s">
        <v>18</v>
      </c>
      <c r="L25" s="10">
        <f>(F51*5)+(E51*25)+((E45+F45)*100)+((E51/7.5)*100)+((F51/7.5)*20)</f>
        <v>0</v>
      </c>
      <c r="M25" s="10">
        <f>(E45*60)+(F45*40)+((E51/7.5)*20)</f>
        <v>0</v>
      </c>
      <c r="N25" s="10"/>
      <c r="O25" s="20"/>
      <c r="P25" s="14"/>
      <c r="Q25" s="14"/>
      <c r="R25" s="14"/>
      <c r="S25" s="14"/>
      <c r="T25" s="14"/>
      <c r="U25" s="14"/>
      <c r="V25" s="14"/>
      <c r="W25" s="14"/>
      <c r="X25" s="14"/>
      <c r="Y25" s="14"/>
      <c r="Z25" s="14"/>
      <c r="AA25" s="14"/>
      <c r="AB25" s="14"/>
      <c r="AC25" s="14"/>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6"/>
    </row>
    <row r="26" spans="2:60" ht="15.75" thickBot="1" x14ac:dyDescent="0.3">
      <c r="B26" s="3" t="s">
        <v>310</v>
      </c>
      <c r="C26" s="86"/>
      <c r="D26" s="4" t="s">
        <v>0</v>
      </c>
      <c r="E26" s="4" t="s">
        <v>3</v>
      </c>
      <c r="F26" s="4" t="s">
        <v>7</v>
      </c>
      <c r="G26" s="4" t="s">
        <v>8</v>
      </c>
      <c r="H26" s="4" t="s">
        <v>9</v>
      </c>
      <c r="I26" s="39"/>
      <c r="J26" s="10" t="s">
        <v>179</v>
      </c>
      <c r="K26" s="42" t="s">
        <v>17</v>
      </c>
      <c r="L26" s="10">
        <f>(G45*100)+((H42/'Output ref'!E10)*100)+((H54/'Output ref'!E16)*25)+(((H54/'Output ref'!E16)/7.5)*100)</f>
        <v>0</v>
      </c>
      <c r="M26" s="20">
        <f>(G45*60)+((H42/'Output ref'!E10)*40)+(((H54/'Output ref'!E16)/7.5)*20)</f>
        <v>0</v>
      </c>
      <c r="N26" s="10"/>
      <c r="O26" s="10"/>
      <c r="P26" s="14"/>
      <c r="Q26" s="14"/>
      <c r="R26" s="14"/>
      <c r="S26" s="14"/>
      <c r="T26" s="14"/>
      <c r="U26" s="14"/>
      <c r="V26" s="14"/>
      <c r="W26" s="14"/>
      <c r="X26" s="14"/>
      <c r="Y26" s="14"/>
      <c r="Z26" s="14"/>
      <c r="AA26" s="14"/>
      <c r="AB26" s="14"/>
      <c r="AC26" s="14"/>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6"/>
    </row>
    <row r="27" spans="2:60" x14ac:dyDescent="0.25">
      <c r="B27" s="64"/>
      <c r="C27" s="87"/>
      <c r="D27" s="10">
        <f>B27* 30</f>
        <v>0</v>
      </c>
      <c r="E27" s="10">
        <f>B27*7.5</f>
        <v>0</v>
      </c>
      <c r="F27" s="10">
        <f>B27*5</f>
        <v>0</v>
      </c>
      <c r="G27" s="10">
        <f>B27*4.8</f>
        <v>0</v>
      </c>
      <c r="H27" s="10">
        <f>B27*3.2</f>
        <v>0</v>
      </c>
      <c r="I27" s="39"/>
      <c r="J27" s="166"/>
      <c r="K27" s="167"/>
      <c r="L27" s="167"/>
      <c r="M27" s="167"/>
      <c r="N27" s="167"/>
      <c r="O27" s="168"/>
      <c r="P27" s="14"/>
      <c r="Q27" s="14"/>
      <c r="R27" s="14"/>
      <c r="S27" s="14"/>
      <c r="T27" s="14"/>
      <c r="U27" s="14"/>
      <c r="V27" s="14"/>
      <c r="W27" s="14"/>
      <c r="X27" s="14"/>
      <c r="Y27" s="14"/>
      <c r="Z27" s="14"/>
      <c r="AA27" s="14"/>
      <c r="AB27" s="14"/>
      <c r="AC27" s="14"/>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6"/>
    </row>
    <row r="28" spans="2:60" x14ac:dyDescent="0.25">
      <c r="D28" s="10"/>
      <c r="E28" s="10"/>
      <c r="F28" s="10"/>
      <c r="G28" s="10"/>
      <c r="H28" s="10"/>
      <c r="I28" s="39"/>
      <c r="J28" s="72" t="s">
        <v>61</v>
      </c>
      <c r="K28" s="5" t="s">
        <v>9</v>
      </c>
      <c r="L28" s="10">
        <f>(H60*20)+(H66*5)+((H66/7.5)*20)</f>
        <v>0</v>
      </c>
      <c r="M28" s="10"/>
      <c r="N28" s="10"/>
      <c r="O28" s="10"/>
      <c r="P28" s="14"/>
      <c r="Q28" s="14"/>
      <c r="R28" s="14"/>
      <c r="S28" s="14"/>
      <c r="T28" s="14"/>
      <c r="U28" s="14"/>
      <c r="V28" s="14"/>
      <c r="W28" s="14"/>
      <c r="X28" s="14"/>
      <c r="Y28" s="14"/>
      <c r="Z28" s="14"/>
      <c r="AA28" s="14"/>
      <c r="AB28" s="14"/>
      <c r="AC28" s="14"/>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6"/>
    </row>
    <row r="29" spans="2:60" x14ac:dyDescent="0.25">
      <c r="B29" s="2" t="s">
        <v>187</v>
      </c>
      <c r="C29" s="84"/>
      <c r="D29" s="5"/>
      <c r="E29" s="4" t="s">
        <v>4</v>
      </c>
      <c r="F29" s="4" t="s">
        <v>11</v>
      </c>
      <c r="G29" s="4" t="s">
        <v>35</v>
      </c>
      <c r="H29" s="4" t="s">
        <v>39</v>
      </c>
      <c r="I29" s="39"/>
      <c r="J29" s="10"/>
      <c r="K29" s="5" t="s">
        <v>19</v>
      </c>
      <c r="L29" s="10">
        <f>(I60*100)+((I66/7.5)*100)+((J66/2.75)*100)</f>
        <v>0</v>
      </c>
      <c r="M29" s="10">
        <f>(I60*60)+((I66/7.5)*20)+((J66/2.75)*40)</f>
        <v>0</v>
      </c>
      <c r="N29" s="10">
        <f>(I60*20)+((I66/7.5)*5)+((J66/2.75)*10)</f>
        <v>0</v>
      </c>
      <c r="O29" s="10"/>
      <c r="P29" s="14"/>
      <c r="Q29" s="14"/>
      <c r="R29" s="14"/>
      <c r="S29" s="14"/>
      <c r="T29" s="14"/>
      <c r="U29" s="14"/>
      <c r="V29" s="14"/>
      <c r="W29" s="14"/>
      <c r="X29" s="14"/>
      <c r="Y29" s="14"/>
      <c r="Z29" s="14"/>
      <c r="AA29" s="14"/>
      <c r="AB29" s="14"/>
      <c r="AC29" s="14"/>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6"/>
    </row>
    <row r="30" spans="2:60" x14ac:dyDescent="0.25">
      <c r="B30" s="7">
        <f>B27*10</f>
        <v>0</v>
      </c>
      <c r="D30" s="10"/>
      <c r="E30" s="10">
        <f>E27/'Output ref'!D7</f>
        <v>0</v>
      </c>
      <c r="F30" s="10" t="str">
        <f>"Weaver - "&amp;F27/'Output ref'!E7</f>
        <v>Weaver - 0</v>
      </c>
      <c r="G30" s="10">
        <f>G27/'Output ref'!F10</f>
        <v>0</v>
      </c>
      <c r="H30" s="10">
        <f>H27/'Output ref'!G7</f>
        <v>0</v>
      </c>
      <c r="I30" s="39"/>
      <c r="J30" s="10"/>
      <c r="K30" s="5" t="s">
        <v>18</v>
      </c>
      <c r="L30" s="10">
        <f>((D60+E60)*100)+(D66*25)+(E66*5)+((D66/7.5)*100)+((E66/7.5)*20)</f>
        <v>0</v>
      </c>
      <c r="M30" s="10">
        <f>(D60*60)+(E60*40)+((D66/7.5)*20)</f>
        <v>0</v>
      </c>
      <c r="N30" s="10"/>
      <c r="O30" s="10"/>
      <c r="P30" s="14"/>
      <c r="Q30" s="14"/>
      <c r="R30" s="14"/>
      <c r="S30" s="14"/>
      <c r="T30" s="14"/>
      <c r="U30" s="14"/>
      <c r="V30" s="14"/>
      <c r="W30" s="14"/>
      <c r="X30" s="14"/>
      <c r="Y30" s="14"/>
      <c r="Z30" s="14"/>
      <c r="AA30" s="14"/>
      <c r="AB30" s="14"/>
      <c r="AC30" s="14"/>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6"/>
    </row>
    <row r="31" spans="2:60" x14ac:dyDescent="0.25">
      <c r="D31" s="10"/>
      <c r="E31" s="10"/>
      <c r="F31" s="10" t="str">
        <f>"Textile Mill - "&amp;F27/'Output ref'!E10</f>
        <v>Textile Mill - 0</v>
      </c>
      <c r="G31" s="10"/>
      <c r="H31" s="10"/>
      <c r="I31" s="39"/>
      <c r="J31" s="10" t="s">
        <v>179</v>
      </c>
      <c r="K31" s="5" t="s">
        <v>17</v>
      </c>
      <c r="L31" s="10">
        <f>(F60*100)+((G57/'Output ref'!E10)*100)+((G69/'Output ref'!E16)*25)+(((G69/'Output ref'!E16)/7.5)*100)</f>
        <v>0</v>
      </c>
      <c r="M31" s="10">
        <f>(F60*60)+((G57/'Output ref'!E10)*40)+(((G69/'Output ref'!E16)/7.5)*20)</f>
        <v>0</v>
      </c>
      <c r="N31" s="10"/>
      <c r="O31" s="10"/>
      <c r="P31" s="14"/>
      <c r="Q31" s="14"/>
      <c r="R31" s="14"/>
      <c r="S31" s="14"/>
      <c r="T31" s="14"/>
      <c r="U31" s="14"/>
      <c r="V31" s="14"/>
      <c r="W31" s="14"/>
      <c r="X31" s="14"/>
      <c r="Y31" s="14"/>
      <c r="Z31" s="14"/>
      <c r="AA31" s="14"/>
      <c r="AB31" s="14"/>
      <c r="AC31" s="14"/>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6"/>
    </row>
    <row r="32" spans="2:60" x14ac:dyDescent="0.25">
      <c r="D32" s="5"/>
      <c r="E32" s="4"/>
      <c r="F32" s="4"/>
      <c r="G32" s="4" t="s">
        <v>15</v>
      </c>
      <c r="H32" s="5"/>
      <c r="I32" s="39"/>
      <c r="J32" s="10"/>
      <c r="K32" s="43" t="s">
        <v>127</v>
      </c>
      <c r="L32" s="10">
        <f>(F75*300)+(G75*100)+(F81*300)+(G81*100)</f>
        <v>0</v>
      </c>
      <c r="M32" s="20">
        <f>(G75*40)+(G81*60)</f>
        <v>0</v>
      </c>
      <c r="N32" s="10">
        <f>(F75*20)+(G75*10)+(F81*60)+(G81*20)</f>
        <v>0</v>
      </c>
      <c r="O32" s="10">
        <f>(F75*40)+(F81*60)</f>
        <v>0</v>
      </c>
      <c r="P32" s="14"/>
      <c r="Q32" s="14"/>
      <c r="R32" s="14"/>
      <c r="S32" s="14"/>
      <c r="T32" s="14"/>
      <c r="U32" s="14"/>
      <c r="V32" s="14"/>
      <c r="W32" s="14"/>
      <c r="X32" s="14"/>
      <c r="Y32" s="14"/>
      <c r="Z32" s="14"/>
      <c r="AA32" s="14"/>
      <c r="AB32" s="14"/>
      <c r="AC32" s="14"/>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6"/>
    </row>
    <row r="33" spans="2:60" x14ac:dyDescent="0.25">
      <c r="D33" s="10"/>
      <c r="E33" s="10"/>
      <c r="F33" s="10"/>
      <c r="G33" s="10">
        <f>G27/'Output ref'!F7</f>
        <v>0</v>
      </c>
      <c r="H33" s="10"/>
      <c r="I33" s="39"/>
      <c r="J33" s="10"/>
      <c r="K33" s="43" t="s">
        <v>102</v>
      </c>
      <c r="L33" s="10">
        <f>((H75+I75)*300)+((I82/7.5)*300)</f>
        <v>0</v>
      </c>
      <c r="M33" s="20"/>
      <c r="N33" s="10">
        <f>(H75*30)+(I75*20)+((I82/7.5)*10)</f>
        <v>0</v>
      </c>
      <c r="O33" s="10">
        <f>(H75*60)+(I75*40)+((I82/7.5)*20)</f>
        <v>0</v>
      </c>
      <c r="P33" s="14"/>
      <c r="Q33" s="14"/>
      <c r="R33" s="14"/>
      <c r="S33" s="14"/>
      <c r="T33" s="14"/>
      <c r="U33" s="14"/>
      <c r="V33" s="14"/>
      <c r="W33" s="14"/>
      <c r="X33" s="14"/>
      <c r="Y33" s="14"/>
      <c r="Z33" s="14"/>
      <c r="AA33" s="14"/>
      <c r="AB33" s="14"/>
      <c r="AC33" s="14"/>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6"/>
    </row>
    <row r="34" spans="2:60" x14ac:dyDescent="0.25">
      <c r="D34" s="10"/>
      <c r="E34" s="10"/>
      <c r="F34" s="10"/>
      <c r="G34" s="10"/>
      <c r="H34" s="10"/>
      <c r="I34" s="39"/>
      <c r="J34" s="10"/>
      <c r="K34" s="43" t="s">
        <v>110</v>
      </c>
      <c r="L34" s="10">
        <f>((M75+N75)*300)+(M81*300)+((N82/7.5)*300)</f>
        <v>0</v>
      </c>
      <c r="M34" s="20"/>
      <c r="N34" s="10">
        <f>(M75*30)+(N75*20)+(M81*10)+((N82/7.5)*10)</f>
        <v>0</v>
      </c>
      <c r="O34" s="10">
        <f>(M75*60)+(N75*40)+(M81*20)+((N82/7.5)*20)</f>
        <v>0</v>
      </c>
      <c r="P34" s="14"/>
      <c r="Q34" s="14"/>
      <c r="R34" s="14"/>
      <c r="S34" s="14"/>
      <c r="T34" s="14"/>
      <c r="U34" s="14"/>
      <c r="V34" s="14"/>
      <c r="W34" s="14"/>
      <c r="X34" s="14"/>
      <c r="Y34" s="14"/>
      <c r="Z34" s="14"/>
      <c r="AA34" s="14"/>
      <c r="AB34" s="14"/>
      <c r="AC34" s="14"/>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6"/>
    </row>
    <row r="35" spans="2:60" x14ac:dyDescent="0.25">
      <c r="D35" s="4" t="s">
        <v>264</v>
      </c>
      <c r="E35" s="4" t="s">
        <v>265</v>
      </c>
      <c r="F35" s="4" t="s">
        <v>260</v>
      </c>
      <c r="G35" s="4" t="s">
        <v>258</v>
      </c>
      <c r="H35" s="4" t="s">
        <v>261</v>
      </c>
      <c r="I35" s="39"/>
      <c r="J35" s="10"/>
      <c r="K35" s="43" t="s">
        <v>104</v>
      </c>
      <c r="L35" s="10">
        <f>((J75+K75)*300)+(L75*100)+(L81*100)+(J81*100)+((J81/10)*300)</f>
        <v>0</v>
      </c>
      <c r="M35" s="20">
        <f>(L75*40)+(L81*60)</f>
        <v>0</v>
      </c>
      <c r="N35" s="10">
        <f>(J75*30)+(K75*20)+((J81/10)*10)</f>
        <v>0</v>
      </c>
      <c r="O35" s="10">
        <f>(J75*60)+(K75*40)++((J81/10)*20)</f>
        <v>0</v>
      </c>
      <c r="P35" s="14"/>
      <c r="Q35" s="14"/>
      <c r="R35" s="14"/>
      <c r="S35" s="14"/>
      <c r="T35" s="14"/>
      <c r="U35" s="14"/>
      <c r="V35" s="14"/>
      <c r="W35" s="14"/>
      <c r="X35" s="14"/>
      <c r="Y35" s="14"/>
      <c r="Z35" s="14"/>
      <c r="AA35" s="14"/>
      <c r="AB35" s="14"/>
      <c r="AC35" s="14"/>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6"/>
    </row>
    <row r="36" spans="2:60" x14ac:dyDescent="0.25">
      <c r="D36" s="10">
        <f>D39/'Output ref'!C4</f>
        <v>0</v>
      </c>
      <c r="E36" s="10">
        <f>E39/'Output ref'!D4</f>
        <v>0</v>
      </c>
      <c r="F36" s="10" t="str">
        <f>"Sheep - "&amp;F39/'Output ref'!E4</f>
        <v>Sheep - 0</v>
      </c>
      <c r="G36" s="10">
        <f>G39/'Output ref'!F4</f>
        <v>0</v>
      </c>
      <c r="H36" s="10">
        <f>H39/'Output ref'!G4</f>
        <v>0</v>
      </c>
      <c r="J36" s="10"/>
      <c r="K36" s="43" t="s">
        <v>128</v>
      </c>
      <c r="L36" s="10">
        <f>((D75+E75)*300)+((D81+E81)*100)+(((D81+E81)/7.5)*300)</f>
        <v>0</v>
      </c>
      <c r="M36" s="20"/>
      <c r="N36" s="10">
        <f>(D75*30)+(E75*20)+(((D81+E81)/7.5)*10)</f>
        <v>0</v>
      </c>
      <c r="O36" s="10">
        <f>(D75*60)+(E75*40)+(((D81+E81)/7.5)*20)</f>
        <v>0</v>
      </c>
      <c r="P36" s="14"/>
      <c r="Q36" s="14"/>
      <c r="R36" s="14"/>
      <c r="S36" s="14"/>
      <c r="T36" s="14"/>
      <c r="U36" s="14"/>
      <c r="V36" s="14"/>
      <c r="W36" s="14"/>
      <c r="X36" s="14"/>
      <c r="Y36" s="14"/>
      <c r="Z36" s="14"/>
      <c r="AA36" s="14"/>
      <c r="AB36" s="14"/>
      <c r="AC36" s="14"/>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6"/>
    </row>
    <row r="37" spans="2:60" x14ac:dyDescent="0.25">
      <c r="D37" s="10"/>
      <c r="E37" s="10"/>
      <c r="F37" s="10" t="str">
        <f>"Cotton field - " &amp;  F39/'Output ref'!E16</f>
        <v>Cotton field - 0</v>
      </c>
      <c r="G37" s="10"/>
      <c r="H37" s="10"/>
      <c r="P37" s="14"/>
      <c r="Q37" s="14"/>
      <c r="R37" s="14"/>
      <c r="S37" s="14"/>
      <c r="T37" s="14"/>
      <c r="U37" s="14"/>
      <c r="V37" s="14"/>
      <c r="W37" s="14"/>
      <c r="X37" s="14"/>
      <c r="Y37" s="14"/>
      <c r="Z37" s="14"/>
      <c r="AA37" s="14"/>
      <c r="AB37" s="14"/>
      <c r="AC37" s="14"/>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6"/>
    </row>
    <row r="38" spans="2:60" x14ac:dyDescent="0.25">
      <c r="D38" s="4" t="s">
        <v>115</v>
      </c>
      <c r="E38" s="4" t="s">
        <v>2</v>
      </c>
      <c r="F38" s="4" t="s">
        <v>10</v>
      </c>
      <c r="G38" s="4" t="s">
        <v>12</v>
      </c>
      <c r="H38" s="4" t="s">
        <v>13</v>
      </c>
      <c r="P38" s="14"/>
      <c r="Q38" s="14"/>
      <c r="R38" s="14"/>
      <c r="S38" s="14"/>
      <c r="T38" s="14"/>
      <c r="U38" s="14"/>
      <c r="V38" s="14"/>
      <c r="W38" s="14"/>
      <c r="X38" s="14"/>
      <c r="Y38" s="14"/>
      <c r="Z38" s="14"/>
      <c r="AA38" s="14"/>
      <c r="AB38" s="14"/>
      <c r="AC38" s="14"/>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6"/>
    </row>
    <row r="39" spans="2:60" x14ac:dyDescent="0.25">
      <c r="D39" s="10">
        <f>D27</f>
        <v>0</v>
      </c>
      <c r="E39" s="10">
        <f>E27*2</f>
        <v>0</v>
      </c>
      <c r="F39" s="10">
        <f>F27*2</f>
        <v>0</v>
      </c>
      <c r="G39" s="10">
        <f>G27*2</f>
        <v>0</v>
      </c>
      <c r="H39" s="10">
        <f>H27*2</f>
        <v>0</v>
      </c>
      <c r="M39" s="17"/>
      <c r="P39" s="14"/>
      <c r="Q39" s="14"/>
      <c r="R39" s="14"/>
      <c r="S39" s="14"/>
      <c r="T39" s="14"/>
      <c r="U39" s="14"/>
      <c r="V39" s="14"/>
      <c r="W39" s="14"/>
      <c r="X39" s="14"/>
      <c r="Y39" s="14"/>
      <c r="Z39" s="14"/>
      <c r="AA39" s="14"/>
      <c r="AB39" s="14"/>
      <c r="AC39" s="14"/>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6"/>
    </row>
    <row r="40" spans="2:60" x14ac:dyDescent="0.25">
      <c r="B40" s="28"/>
      <c r="C40" s="28"/>
      <c r="D40" s="23"/>
      <c r="E40" s="23"/>
      <c r="F40" s="23"/>
      <c r="G40" s="23"/>
      <c r="H40" s="23"/>
      <c r="M40" s="17" t="str">
        <f>SUBSTITUTE(TRIM(SUBSTITUTE(A39,"."," "))," ",".")</f>
        <v/>
      </c>
      <c r="P40" s="14"/>
      <c r="Q40" s="14"/>
      <c r="R40" s="14"/>
      <c r="S40" s="14"/>
      <c r="T40" s="14"/>
      <c r="U40" s="14"/>
      <c r="V40" s="14"/>
      <c r="W40" s="14"/>
      <c r="X40" s="14"/>
      <c r="Y40" s="14"/>
      <c r="Z40" s="14"/>
      <c r="AA40" s="14"/>
      <c r="AB40" s="14"/>
      <c r="AC40" s="14"/>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6"/>
    </row>
    <row r="41" spans="2:60" x14ac:dyDescent="0.25">
      <c r="B41" s="2" t="s">
        <v>311</v>
      </c>
      <c r="C41" s="2"/>
      <c r="D41" s="4" t="s">
        <v>0</v>
      </c>
      <c r="E41" s="4" t="s">
        <v>18</v>
      </c>
      <c r="F41" s="6" t="s">
        <v>26</v>
      </c>
      <c r="G41" s="4" t="s">
        <v>17</v>
      </c>
      <c r="H41" s="6" t="s">
        <v>7</v>
      </c>
      <c r="I41" s="4" t="s">
        <v>8</v>
      </c>
      <c r="J41" s="4" t="s">
        <v>9</v>
      </c>
      <c r="K41" s="4" t="s">
        <v>19</v>
      </c>
      <c r="L41" s="6" t="s">
        <v>27</v>
      </c>
      <c r="M41" s="4" t="s">
        <v>20</v>
      </c>
      <c r="N41" s="6" t="s">
        <v>31</v>
      </c>
      <c r="P41" s="21" t="s">
        <v>83</v>
      </c>
      <c r="Q41" s="14"/>
      <c r="R41" s="14"/>
      <c r="S41" s="14"/>
      <c r="T41" s="14"/>
      <c r="U41" s="14"/>
      <c r="V41" s="14"/>
      <c r="W41" s="14"/>
      <c r="X41" s="14"/>
      <c r="Y41" s="14"/>
      <c r="Z41" s="14"/>
      <c r="AA41" s="14"/>
      <c r="AB41" s="14"/>
      <c r="AC41" s="14"/>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6"/>
    </row>
    <row r="42" spans="2:60" x14ac:dyDescent="0.25">
      <c r="B42" s="64"/>
      <c r="C42" s="87"/>
      <c r="D42" s="10">
        <f>B42* 37.5</f>
        <v>0</v>
      </c>
      <c r="E42" s="10">
        <f>B42*6</f>
        <v>0</v>
      </c>
      <c r="F42" s="10">
        <f>E42*0.5</f>
        <v>0</v>
      </c>
      <c r="G42" s="10">
        <f>B42*3</f>
        <v>0</v>
      </c>
      <c r="H42" s="10">
        <f>G54</f>
        <v>0</v>
      </c>
      <c r="I42" s="10">
        <f>B42*6</f>
        <v>0</v>
      </c>
      <c r="J42" s="10">
        <f>B42*4</f>
        <v>0</v>
      </c>
      <c r="K42" s="10">
        <f>B42* 12</f>
        <v>0</v>
      </c>
      <c r="L42" s="10">
        <f>K42/4</f>
        <v>0</v>
      </c>
      <c r="M42" s="10">
        <f>B42*2</f>
        <v>0</v>
      </c>
      <c r="N42" s="10">
        <f>M42</f>
        <v>0</v>
      </c>
      <c r="P42" s="66">
        <v>1</v>
      </c>
      <c r="Q42" s="14"/>
      <c r="R42" s="14"/>
      <c r="S42" s="14"/>
      <c r="T42" s="14"/>
      <c r="U42" s="14"/>
      <c r="V42" s="14"/>
      <c r="W42" s="14"/>
      <c r="X42" s="14"/>
      <c r="Y42" s="14"/>
      <c r="Z42" s="14"/>
      <c r="AA42" s="14"/>
      <c r="AB42" s="14"/>
      <c r="AC42" s="14"/>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6"/>
    </row>
    <row r="43" spans="2:60" x14ac:dyDescent="0.25">
      <c r="B43" s="11"/>
      <c r="C43" s="11"/>
      <c r="D43" s="10"/>
      <c r="E43" s="10"/>
      <c r="F43" s="10"/>
      <c r="G43" s="10"/>
      <c r="H43" s="10"/>
      <c r="I43" s="10"/>
      <c r="J43" s="10"/>
      <c r="K43" s="10"/>
      <c r="L43" s="10"/>
      <c r="M43" s="10"/>
      <c r="N43" s="10"/>
      <c r="P43" s="20"/>
      <c r="Q43" s="14"/>
      <c r="R43" s="14"/>
      <c r="S43" s="14"/>
      <c r="T43" s="14"/>
      <c r="U43" s="14"/>
      <c r="V43" s="14"/>
      <c r="W43" s="14"/>
      <c r="X43" s="14"/>
      <c r="Y43" s="14"/>
      <c r="Z43" s="14"/>
      <c r="AA43" s="14"/>
      <c r="AB43" s="14"/>
      <c r="AC43" s="14"/>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6"/>
    </row>
    <row r="44" spans="2:60" x14ac:dyDescent="0.25">
      <c r="B44" s="2" t="s">
        <v>187</v>
      </c>
      <c r="C44" s="84"/>
      <c r="D44" s="5"/>
      <c r="E44" s="4" t="s">
        <v>41</v>
      </c>
      <c r="F44" s="6" t="s">
        <v>24</v>
      </c>
      <c r="G44" s="4" t="s">
        <v>40</v>
      </c>
      <c r="H44" s="6" t="s">
        <v>11</v>
      </c>
      <c r="I44" s="4" t="s">
        <v>35</v>
      </c>
      <c r="J44" s="4" t="s">
        <v>39</v>
      </c>
      <c r="K44" s="4" t="s">
        <v>36</v>
      </c>
      <c r="L44" s="6"/>
      <c r="M44" s="4" t="s">
        <v>37</v>
      </c>
      <c r="N44" s="6" t="s">
        <v>267</v>
      </c>
      <c r="P44" s="21" t="s">
        <v>85</v>
      </c>
      <c r="Q44" s="14"/>
      <c r="R44" s="14"/>
      <c r="S44" s="14"/>
      <c r="T44" s="14"/>
      <c r="U44" s="14"/>
      <c r="V44" s="14"/>
      <c r="W44" s="14"/>
      <c r="X44" s="14"/>
      <c r="Y44" s="14"/>
      <c r="Z44" s="14"/>
      <c r="AA44" s="14"/>
      <c r="AB44" s="14"/>
      <c r="AC44" s="14"/>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6"/>
    </row>
    <row r="45" spans="2:60" x14ac:dyDescent="0.25">
      <c r="B45" s="7">
        <f>B42*50</f>
        <v>0</v>
      </c>
      <c r="D45" s="10"/>
      <c r="E45" s="10">
        <f>E42/'Output ref'!H13</f>
        <v>0</v>
      </c>
      <c r="F45" s="10">
        <f>F42/'Output ref'!H10</f>
        <v>0</v>
      </c>
      <c r="G45" s="10">
        <f>G42/'Output ref'!E13</f>
        <v>0</v>
      </c>
      <c r="H45" s="10" t="str">
        <f>"Weaver - "&amp;ROUND((H42/'Output ref'!E7),2)</f>
        <v>Weaver - 0</v>
      </c>
      <c r="I45" s="10">
        <f>I42/'Output ref'!F10</f>
        <v>0</v>
      </c>
      <c r="J45" s="10">
        <f>J42/'Output ref'!G7</f>
        <v>0</v>
      </c>
      <c r="K45" s="10">
        <f>K42/'Output ref'!I7</f>
        <v>0</v>
      </c>
      <c r="L45" s="10"/>
      <c r="M45" s="10">
        <f>M42/'Output ref'!K7</f>
        <v>0</v>
      </c>
      <c r="N45" s="10">
        <f>N42/'Output ref'!J4</f>
        <v>0</v>
      </c>
      <c r="P45" s="20">
        <f>P42*60</f>
        <v>60</v>
      </c>
      <c r="Q45" s="14"/>
      <c r="R45" s="14"/>
      <c r="S45" s="14"/>
      <c r="T45" s="14"/>
      <c r="U45" s="14"/>
      <c r="V45" s="14"/>
      <c r="W45" s="14"/>
      <c r="X45" s="14"/>
      <c r="Y45" s="14"/>
      <c r="Z45" s="14"/>
      <c r="AA45" s="14"/>
      <c r="AB45" s="14"/>
      <c r="AC45" s="14"/>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6"/>
    </row>
    <row r="46" spans="2:60" x14ac:dyDescent="0.25">
      <c r="D46" s="10"/>
      <c r="E46" s="10"/>
      <c r="F46" s="10"/>
      <c r="G46" s="10"/>
      <c r="H46" s="10" t="str">
        <f>"Textile Mill - "&amp;ROUND((H42/'Output ref'!E10),2)</f>
        <v>Textile Mill - 0</v>
      </c>
      <c r="I46" s="10"/>
      <c r="J46" s="10"/>
      <c r="K46" s="10"/>
      <c r="L46" s="10"/>
      <c r="M46" s="10"/>
      <c r="N46" s="10"/>
      <c r="P46" s="20"/>
      <c r="Q46" s="14"/>
      <c r="R46" s="14"/>
      <c r="S46" s="14"/>
      <c r="T46" s="14"/>
      <c r="U46" s="14"/>
      <c r="V46" s="14"/>
      <c r="W46" s="14"/>
      <c r="X46" s="14"/>
      <c r="Y46" s="14"/>
      <c r="Z46" s="14"/>
      <c r="AA46" s="14"/>
      <c r="AB46" s="14"/>
      <c r="AC46" s="14"/>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6"/>
    </row>
    <row r="47" spans="2:60" x14ac:dyDescent="0.25">
      <c r="D47" s="5"/>
      <c r="E47" s="4"/>
      <c r="F47" s="6"/>
      <c r="G47" s="4"/>
      <c r="H47" s="6"/>
      <c r="I47" s="4" t="s">
        <v>15</v>
      </c>
      <c r="J47" s="5"/>
      <c r="K47" s="5"/>
      <c r="L47" s="6"/>
      <c r="M47" s="4" t="s">
        <v>38</v>
      </c>
      <c r="N47" s="6" t="s">
        <v>64</v>
      </c>
      <c r="P47" s="19"/>
      <c r="Q47" s="14"/>
      <c r="R47" s="14"/>
      <c r="S47" s="14"/>
      <c r="T47" s="14"/>
      <c r="U47" s="14"/>
      <c r="V47" s="14"/>
      <c r="W47" s="14"/>
      <c r="X47" s="14"/>
      <c r="Y47" s="14"/>
      <c r="Z47" s="14"/>
      <c r="AA47" s="14"/>
      <c r="AB47" s="14"/>
      <c r="AC47" s="14"/>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6"/>
    </row>
    <row r="48" spans="2:60" x14ac:dyDescent="0.25">
      <c r="D48" s="10"/>
      <c r="E48" s="10"/>
      <c r="F48" s="10"/>
      <c r="G48" s="10"/>
      <c r="H48" s="10"/>
      <c r="I48" s="10">
        <f>I42/'Output ref'!F7</f>
        <v>0</v>
      </c>
      <c r="J48" s="10"/>
      <c r="K48" s="10"/>
      <c r="L48" s="10"/>
      <c r="M48" s="10">
        <f>M42/'Output ref'!K10</f>
        <v>0</v>
      </c>
      <c r="N48" s="10">
        <f>N42/'Output ref'!J7</f>
        <v>0</v>
      </c>
      <c r="P48" s="20"/>
      <c r="Q48" s="14"/>
      <c r="R48" s="14"/>
      <c r="S48" s="14"/>
      <c r="T48" s="14"/>
      <c r="U48" s="14"/>
      <c r="V48" s="14"/>
      <c r="W48" s="14"/>
      <c r="X48" s="14"/>
      <c r="Y48" s="14"/>
      <c r="Z48" s="14"/>
      <c r="AA48" s="14"/>
      <c r="AB48" s="14"/>
      <c r="AC48" s="14"/>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6"/>
    </row>
    <row r="49" spans="2:60" x14ac:dyDescent="0.25">
      <c r="D49" s="10"/>
      <c r="E49" s="10"/>
      <c r="F49" s="10"/>
      <c r="G49" s="10"/>
      <c r="H49" s="10"/>
      <c r="I49" s="10"/>
      <c r="J49" s="10"/>
      <c r="K49" s="10"/>
      <c r="L49" s="10"/>
      <c r="M49" s="10"/>
      <c r="N49" s="10"/>
      <c r="P49" s="20"/>
      <c r="Q49" s="14"/>
      <c r="R49" s="14"/>
      <c r="S49" s="14"/>
      <c r="T49" s="14"/>
      <c r="U49" s="14"/>
      <c r="V49" s="14"/>
      <c r="W49" s="14"/>
      <c r="X49" s="14"/>
      <c r="Y49" s="14"/>
      <c r="Z49" s="14"/>
      <c r="AA49" s="14"/>
      <c r="AB49" s="14"/>
      <c r="AC49" s="14"/>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6"/>
    </row>
    <row r="50" spans="2:60" x14ac:dyDescent="0.25">
      <c r="D50" s="4" t="s">
        <v>264</v>
      </c>
      <c r="E50" s="4" t="s">
        <v>259</v>
      </c>
      <c r="F50" s="6" t="s">
        <v>258</v>
      </c>
      <c r="G50" s="4"/>
      <c r="H50" s="6" t="s">
        <v>260</v>
      </c>
      <c r="I50" s="4" t="s">
        <v>258</v>
      </c>
      <c r="J50" s="4" t="s">
        <v>261</v>
      </c>
      <c r="K50" s="4" t="s">
        <v>262</v>
      </c>
      <c r="L50" s="6" t="s">
        <v>263</v>
      </c>
      <c r="M50" s="4" t="s">
        <v>266</v>
      </c>
      <c r="N50" s="6"/>
      <c r="P50" s="19" t="s">
        <v>265</v>
      </c>
      <c r="Q50" s="14"/>
      <c r="R50" s="14"/>
      <c r="S50" s="14"/>
      <c r="T50" s="14"/>
      <c r="U50" s="14"/>
      <c r="V50" s="14"/>
      <c r="W50" s="14"/>
      <c r="X50" s="14"/>
      <c r="Y50" s="14"/>
      <c r="Z50" s="14"/>
      <c r="AA50" s="14"/>
      <c r="AB50" s="14"/>
      <c r="AC50" s="14"/>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6"/>
    </row>
    <row r="51" spans="2:60" x14ac:dyDescent="0.25">
      <c r="D51" s="10">
        <f>D42/'Output ref'!C4</f>
        <v>0</v>
      </c>
      <c r="E51" s="10">
        <f>E54/'Output ref'!H4</f>
        <v>0</v>
      </c>
      <c r="F51" s="10">
        <f>F54/'Output ref'!H7</f>
        <v>0</v>
      </c>
      <c r="G51" s="10"/>
      <c r="H51" s="10" t="str">
        <f>"Sheep - "&amp;ROUND((H54/'Output ref'!E4),2)</f>
        <v>Sheep - 0</v>
      </c>
      <c r="I51" s="10">
        <f>I54/'Output ref'!F4</f>
        <v>0</v>
      </c>
      <c r="J51" s="10">
        <f>J54/'Output ref'!G4</f>
        <v>0</v>
      </c>
      <c r="K51" s="10">
        <f>K54/'Output ref'!I4</f>
        <v>0</v>
      </c>
      <c r="L51" s="10">
        <f>L42/'Output ref'!I10</f>
        <v>0</v>
      </c>
      <c r="M51" s="10">
        <f>M54/'Output ref'!K4</f>
        <v>0</v>
      </c>
      <c r="N51" s="10"/>
      <c r="P51" s="20">
        <f>P54/'Output ref'!D4</f>
        <v>32</v>
      </c>
      <c r="Q51" s="14"/>
      <c r="R51" s="14"/>
      <c r="S51" s="14"/>
      <c r="T51" s="14"/>
      <c r="U51" s="14"/>
      <c r="V51" s="14"/>
      <c r="W51" s="14"/>
      <c r="X51" s="14"/>
      <c r="Y51" s="14"/>
      <c r="Z51" s="14"/>
      <c r="AA51" s="14"/>
      <c r="AB51" s="14"/>
      <c r="AC51" s="14"/>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6"/>
    </row>
    <row r="52" spans="2:60" x14ac:dyDescent="0.25">
      <c r="D52" s="10"/>
      <c r="E52" s="10"/>
      <c r="F52" s="10"/>
      <c r="G52" s="10"/>
      <c r="H52" s="10" t="str">
        <f>"Cotton field - " &amp; ROUND((H54/'Output ref'!E16),2)</f>
        <v>Cotton field - 0</v>
      </c>
      <c r="I52" s="10"/>
      <c r="J52" s="10"/>
      <c r="K52" s="10"/>
      <c r="L52" s="10"/>
      <c r="M52" s="10"/>
      <c r="N52" s="10"/>
      <c r="P52" s="20"/>
      <c r="Q52" s="14"/>
      <c r="R52" s="14"/>
      <c r="S52" s="14"/>
      <c r="T52" s="14"/>
      <c r="U52" s="14"/>
      <c r="V52" s="14"/>
      <c r="W52" s="14"/>
      <c r="X52" s="14"/>
      <c r="Y52" s="14"/>
      <c r="Z52" s="14"/>
      <c r="AA52" s="14"/>
      <c r="AB52" s="14"/>
      <c r="AC52" s="14"/>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6"/>
    </row>
    <row r="53" spans="2:60" x14ac:dyDescent="0.25">
      <c r="D53" s="4" t="s">
        <v>115</v>
      </c>
      <c r="E53" s="4" t="s">
        <v>23</v>
      </c>
      <c r="F53" s="6" t="s">
        <v>12</v>
      </c>
      <c r="G53" s="4" t="s">
        <v>7</v>
      </c>
      <c r="H53" s="6" t="s">
        <v>10</v>
      </c>
      <c r="I53" s="4" t="s">
        <v>12</v>
      </c>
      <c r="J53" s="4" t="s">
        <v>13</v>
      </c>
      <c r="K53" s="4" t="s">
        <v>29</v>
      </c>
      <c r="L53" s="6"/>
      <c r="M53" s="4" t="s">
        <v>32</v>
      </c>
      <c r="N53" s="6"/>
      <c r="P53" s="19" t="s">
        <v>2</v>
      </c>
      <c r="Q53" s="14"/>
      <c r="R53" s="14"/>
      <c r="S53" s="14"/>
      <c r="T53" s="14"/>
      <c r="U53" s="14"/>
      <c r="V53" s="14"/>
      <c r="W53" s="14"/>
      <c r="X53" s="14"/>
      <c r="Y53" s="14"/>
      <c r="Z53" s="14"/>
      <c r="AA53" s="14"/>
      <c r="AB53" s="14"/>
      <c r="AC53" s="14"/>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6"/>
    </row>
    <row r="54" spans="2:60" x14ac:dyDescent="0.25">
      <c r="D54" s="10">
        <f>D42</f>
        <v>0</v>
      </c>
      <c r="E54" s="10">
        <f>E42*3/2</f>
        <v>0</v>
      </c>
      <c r="F54" s="10">
        <f>F42*2</f>
        <v>0</v>
      </c>
      <c r="G54" s="10">
        <f>G42*4</f>
        <v>0</v>
      </c>
      <c r="H54" s="10">
        <f>H42*2</f>
        <v>0</v>
      </c>
      <c r="I54" s="10">
        <f>I42*2</f>
        <v>0</v>
      </c>
      <c r="J54" s="10">
        <f>J42*2</f>
        <v>0</v>
      </c>
      <c r="K54" s="10">
        <f>K42/2</f>
        <v>0</v>
      </c>
      <c r="L54" s="10"/>
      <c r="M54" s="10">
        <f>M42</f>
        <v>0</v>
      </c>
      <c r="N54" s="10"/>
      <c r="P54" s="20">
        <f>P42*120</f>
        <v>120</v>
      </c>
      <c r="Q54" s="14"/>
      <c r="R54" s="14"/>
      <c r="S54" s="14"/>
      <c r="T54" s="14"/>
      <c r="U54" s="14"/>
      <c r="V54" s="14"/>
      <c r="W54" s="14"/>
      <c r="X54" s="14"/>
      <c r="Y54" s="14"/>
      <c r="Z54" s="14"/>
      <c r="AA54" s="14"/>
      <c r="AB54" s="14"/>
      <c r="AC54" s="14"/>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6"/>
    </row>
    <row r="55" spans="2:60" x14ac:dyDescent="0.25">
      <c r="B55" s="28"/>
      <c r="C55" s="28"/>
      <c r="D55" s="23"/>
      <c r="E55" s="23"/>
      <c r="F55" s="23"/>
      <c r="G55" s="23"/>
      <c r="H55" s="23"/>
      <c r="I55" s="23"/>
      <c r="J55" s="23"/>
      <c r="K55" s="23"/>
      <c r="L55" s="23"/>
      <c r="M55" s="24" t="str">
        <f>SUBSTITUTE(TRIM(SUBSTITUTE(A54,"."," "))," ",".")</f>
        <v/>
      </c>
      <c r="N55" s="23"/>
      <c r="O55" s="23"/>
      <c r="P55" s="31"/>
      <c r="Q55" s="14"/>
      <c r="R55" s="14"/>
      <c r="S55" s="14"/>
      <c r="T55" s="14"/>
      <c r="U55" s="14"/>
      <c r="V55" s="14"/>
      <c r="W55" s="14"/>
      <c r="X55" s="14"/>
      <c r="Y55" s="14"/>
      <c r="Z55" s="14"/>
      <c r="AA55" s="14"/>
      <c r="AB55" s="14"/>
      <c r="AC55" s="14"/>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6"/>
    </row>
    <row r="56" spans="2:60" x14ac:dyDescent="0.25">
      <c r="B56" s="2" t="s">
        <v>312</v>
      </c>
      <c r="C56" s="2"/>
      <c r="D56" s="4" t="s">
        <v>18</v>
      </c>
      <c r="E56" s="6" t="s">
        <v>26</v>
      </c>
      <c r="F56" s="4" t="s">
        <v>17</v>
      </c>
      <c r="G56" s="6" t="s">
        <v>7</v>
      </c>
      <c r="H56" s="4" t="s">
        <v>9</v>
      </c>
      <c r="I56" s="4" t="s">
        <v>19</v>
      </c>
      <c r="J56" s="6" t="s">
        <v>27</v>
      </c>
      <c r="M56" s="14"/>
      <c r="N56" s="14"/>
      <c r="O56" s="14"/>
      <c r="P56" s="21" t="s">
        <v>83</v>
      </c>
      <c r="Q56" s="14"/>
      <c r="R56" s="14"/>
      <c r="S56" s="14"/>
      <c r="T56" s="14"/>
      <c r="U56" s="14"/>
      <c r="V56" s="14"/>
      <c r="W56" s="14"/>
      <c r="X56" s="14"/>
      <c r="Y56" s="14"/>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6"/>
    </row>
    <row r="57" spans="2:60" x14ac:dyDescent="0.25">
      <c r="B57" s="64"/>
      <c r="C57" s="87"/>
      <c r="D57" s="10">
        <f>B57*7.2</f>
        <v>0</v>
      </c>
      <c r="E57" s="10">
        <f>D57*0.5</f>
        <v>0</v>
      </c>
      <c r="F57" s="10">
        <f>B57*3.6</f>
        <v>0</v>
      </c>
      <c r="G57" s="10">
        <f>F69</f>
        <v>0</v>
      </c>
      <c r="H57" s="10">
        <f>B57*4.8</f>
        <v>0</v>
      </c>
      <c r="I57" s="10">
        <f>B57*14.4</f>
        <v>0</v>
      </c>
      <c r="J57" s="10">
        <f>I57/4</f>
        <v>0</v>
      </c>
      <c r="M57" s="14"/>
      <c r="N57" s="14"/>
      <c r="O57" s="14"/>
      <c r="P57" s="66">
        <v>2</v>
      </c>
      <c r="Q57" s="14"/>
      <c r="R57" s="14"/>
      <c r="S57" s="14"/>
      <c r="T57" s="14"/>
      <c r="U57" s="14"/>
      <c r="V57" s="14"/>
      <c r="W57" s="14"/>
      <c r="X57" s="14"/>
      <c r="Y57" s="14"/>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6"/>
    </row>
    <row r="58" spans="2:60" x14ac:dyDescent="0.25">
      <c r="B58" s="11" t="s">
        <v>315</v>
      </c>
      <c r="C58" s="11"/>
      <c r="D58" s="10"/>
      <c r="E58" s="10"/>
      <c r="F58" s="10"/>
      <c r="G58" s="10"/>
      <c r="H58" s="10"/>
      <c r="I58" s="10"/>
      <c r="J58" s="10"/>
      <c r="M58" s="14"/>
      <c r="N58" s="14"/>
      <c r="O58" s="14"/>
      <c r="P58" s="20"/>
      <c r="Q58" s="14"/>
      <c r="R58" s="14"/>
      <c r="S58" s="14"/>
      <c r="T58" s="14"/>
      <c r="U58" s="14"/>
      <c r="V58" s="14"/>
      <c r="W58" s="14"/>
      <c r="X58" s="14"/>
      <c r="Y58" s="14"/>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6"/>
    </row>
    <row r="59" spans="2:60" x14ac:dyDescent="0.25">
      <c r="B59" s="2" t="s">
        <v>189</v>
      </c>
      <c r="D59" s="4" t="s">
        <v>41</v>
      </c>
      <c r="E59" s="6" t="s">
        <v>24</v>
      </c>
      <c r="F59" s="4" t="s">
        <v>40</v>
      </c>
      <c r="G59" s="6" t="s">
        <v>11</v>
      </c>
      <c r="H59" s="4" t="s">
        <v>39</v>
      </c>
      <c r="I59" s="4" t="s">
        <v>36</v>
      </c>
      <c r="J59" s="6"/>
      <c r="M59" s="14"/>
      <c r="N59" s="14"/>
      <c r="O59" s="14"/>
      <c r="P59" s="21" t="s">
        <v>85</v>
      </c>
      <c r="Q59" s="14"/>
      <c r="R59" s="14"/>
      <c r="S59" s="14"/>
      <c r="T59" s="14"/>
      <c r="U59" s="14"/>
      <c r="V59" s="14"/>
      <c r="W59" s="14"/>
      <c r="X59" s="14"/>
      <c r="Y59" s="14"/>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6"/>
    </row>
    <row r="60" spans="2:60" x14ac:dyDescent="0.25">
      <c r="B60" s="85">
        <f>B57*2.808</f>
        <v>0</v>
      </c>
      <c r="D60" s="10">
        <f>D57/'Output ref'!H13</f>
        <v>0</v>
      </c>
      <c r="E60" s="10">
        <f>E57/'Output ref'!H10</f>
        <v>0</v>
      </c>
      <c r="F60" s="10">
        <f>F57/'Output ref'!E13</f>
        <v>0</v>
      </c>
      <c r="G60" s="10" t="str">
        <f>"Weaver - "&amp;ROUND((G57/'Output ref'!E7),2)</f>
        <v>Weaver - 0</v>
      </c>
      <c r="H60" s="10">
        <f>H57/'Output ref'!G7</f>
        <v>0</v>
      </c>
      <c r="I60" s="10">
        <f>I57/'Output ref'!I7</f>
        <v>0</v>
      </c>
      <c r="J60" s="10"/>
      <c r="M60" s="14"/>
      <c r="N60" s="14"/>
      <c r="O60" s="14"/>
      <c r="P60" s="20">
        <f>P57*60</f>
        <v>120</v>
      </c>
      <c r="Q60" s="14"/>
      <c r="R60" s="14"/>
      <c r="S60" s="14"/>
      <c r="T60" s="14"/>
      <c r="U60" s="14"/>
      <c r="V60" s="14"/>
      <c r="W60" s="14"/>
      <c r="X60" s="14"/>
      <c r="Y60" s="14"/>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6"/>
    </row>
    <row r="61" spans="2:60" x14ac:dyDescent="0.25">
      <c r="D61" s="10"/>
      <c r="E61" s="10"/>
      <c r="F61" s="10"/>
      <c r="G61" s="10" t="str">
        <f>"Textile Mill - "&amp;ROUND((G57/'Output ref'!E10),2)</f>
        <v>Textile Mill - 0</v>
      </c>
      <c r="H61" s="10"/>
      <c r="I61" s="10"/>
      <c r="J61" s="10"/>
      <c r="M61" s="14"/>
      <c r="N61" s="14"/>
      <c r="O61" s="14"/>
      <c r="P61" s="20"/>
      <c r="Q61" s="14"/>
      <c r="R61" s="14"/>
      <c r="S61" s="14"/>
      <c r="T61" s="14"/>
      <c r="U61" s="14"/>
      <c r="V61" s="14"/>
      <c r="W61" s="14"/>
      <c r="X61" s="14"/>
      <c r="Y61" s="14"/>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6"/>
    </row>
    <row r="62" spans="2:60" x14ac:dyDescent="0.25">
      <c r="D62" s="4"/>
      <c r="E62" s="6"/>
      <c r="F62" s="4"/>
      <c r="G62" s="6"/>
      <c r="H62" s="5"/>
      <c r="I62" s="5"/>
      <c r="J62" s="6"/>
      <c r="M62" s="14"/>
      <c r="N62" s="14"/>
      <c r="O62" s="14"/>
      <c r="P62" s="19"/>
      <c r="Q62" s="14"/>
      <c r="R62" s="14"/>
      <c r="S62" s="14"/>
      <c r="T62" s="14"/>
      <c r="U62" s="14"/>
      <c r="V62" s="14"/>
      <c r="W62" s="14"/>
      <c r="X62" s="14"/>
      <c r="Y62" s="14"/>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6"/>
    </row>
    <row r="63" spans="2:60" x14ac:dyDescent="0.25">
      <c r="D63" s="10"/>
      <c r="E63" s="10"/>
      <c r="F63" s="10"/>
      <c r="G63" s="10"/>
      <c r="H63" s="10"/>
      <c r="I63" s="10"/>
      <c r="J63" s="10"/>
      <c r="M63" s="14"/>
      <c r="N63" s="14"/>
      <c r="O63" s="14"/>
      <c r="P63" s="20"/>
      <c r="Q63" s="14"/>
      <c r="R63" s="14"/>
      <c r="S63" s="14"/>
      <c r="T63" s="14"/>
      <c r="U63" s="14"/>
      <c r="V63" s="14"/>
      <c r="W63" s="14"/>
      <c r="X63" s="14"/>
      <c r="Y63" s="14"/>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6"/>
    </row>
    <row r="64" spans="2:60" x14ac:dyDescent="0.25">
      <c r="D64" s="10"/>
      <c r="E64" s="10"/>
      <c r="F64" s="10"/>
      <c r="G64" s="10"/>
      <c r="H64" s="10"/>
      <c r="I64" s="10"/>
      <c r="J64" s="10"/>
      <c r="M64" s="14"/>
      <c r="N64" s="14"/>
      <c r="O64" s="14"/>
      <c r="P64" s="20"/>
      <c r="Q64" s="14"/>
      <c r="R64" s="14"/>
      <c r="S64" s="14"/>
      <c r="T64" s="14"/>
      <c r="U64" s="14"/>
      <c r="V64" s="14"/>
      <c r="W64" s="14"/>
      <c r="X64" s="14"/>
      <c r="Y64" s="14"/>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6"/>
    </row>
    <row r="65" spans="4:60" x14ac:dyDescent="0.25">
      <c r="D65" s="4" t="s">
        <v>259</v>
      </c>
      <c r="E65" s="6" t="s">
        <v>258</v>
      </c>
      <c r="F65" s="4"/>
      <c r="G65" s="6" t="s">
        <v>260</v>
      </c>
      <c r="H65" s="4" t="s">
        <v>261</v>
      </c>
      <c r="I65" s="4" t="s">
        <v>262</v>
      </c>
      <c r="J65" s="6" t="s">
        <v>263</v>
      </c>
      <c r="M65" s="14"/>
      <c r="N65" s="14"/>
      <c r="O65" s="14"/>
      <c r="P65" s="19" t="s">
        <v>265</v>
      </c>
      <c r="Q65" s="14"/>
      <c r="R65" s="14"/>
      <c r="S65" s="14"/>
      <c r="T65" s="14"/>
      <c r="U65" s="14"/>
      <c r="V65" s="14"/>
      <c r="W65" s="14"/>
      <c r="X65" s="14"/>
      <c r="Y65" s="14"/>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6"/>
    </row>
    <row r="66" spans="4:60" x14ac:dyDescent="0.25">
      <c r="D66" s="10">
        <f>D69/'Output ref'!H4</f>
        <v>0</v>
      </c>
      <c r="E66" s="10">
        <f>E69/'Output ref'!H7</f>
        <v>0</v>
      </c>
      <c r="F66" s="10"/>
      <c r="G66" s="10" t="str">
        <f>"Sheep - "&amp; ROUND((G69/'Output ref'!E4),2)</f>
        <v>Sheep - 0</v>
      </c>
      <c r="H66" s="10">
        <f>H69/'Output ref'!G4</f>
        <v>0</v>
      </c>
      <c r="I66" s="10">
        <f>I69/'Output ref'!I4</f>
        <v>0</v>
      </c>
      <c r="J66" s="10">
        <f>J57/'Output ref'!I10</f>
        <v>0</v>
      </c>
      <c r="M66" s="14"/>
      <c r="N66" s="14"/>
      <c r="O66" s="14"/>
      <c r="P66" s="20">
        <f>P69/'Output ref'!D4</f>
        <v>64</v>
      </c>
      <c r="Q66" s="14"/>
      <c r="R66" s="14"/>
      <c r="S66" s="14"/>
      <c r="T66" s="14"/>
      <c r="U66" s="14"/>
      <c r="V66" s="14"/>
      <c r="W66" s="14"/>
      <c r="X66" s="14"/>
      <c r="Y66" s="14"/>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6"/>
    </row>
    <row r="67" spans="4:60" x14ac:dyDescent="0.25">
      <c r="D67" s="10"/>
      <c r="E67" s="10"/>
      <c r="F67" s="10"/>
      <c r="G67" s="10" t="str">
        <f>"Cotton field - " &amp;  ROUND((G69/'Output ref'!E16),2)</f>
        <v>Cotton field - 0</v>
      </c>
      <c r="H67" s="10"/>
      <c r="I67" s="10"/>
      <c r="J67" s="10"/>
      <c r="M67" s="14"/>
      <c r="N67" s="14"/>
      <c r="O67" s="14"/>
      <c r="P67" s="20"/>
      <c r="Q67" s="14"/>
      <c r="R67" s="14"/>
      <c r="S67" s="14"/>
      <c r="T67" s="14"/>
      <c r="U67" s="14"/>
      <c r="V67" s="14"/>
      <c r="W67" s="14"/>
      <c r="X67" s="14"/>
      <c r="Y67" s="14"/>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6"/>
    </row>
    <row r="68" spans="4:60" x14ac:dyDescent="0.25">
      <c r="D68" s="4" t="s">
        <v>23</v>
      </c>
      <c r="E68" s="6" t="s">
        <v>12</v>
      </c>
      <c r="F68" s="4" t="s">
        <v>7</v>
      </c>
      <c r="G68" s="6" t="s">
        <v>10</v>
      </c>
      <c r="H68" s="4" t="s">
        <v>13</v>
      </c>
      <c r="I68" s="4" t="s">
        <v>29</v>
      </c>
      <c r="J68" s="6"/>
      <c r="M68" s="14"/>
      <c r="N68" s="14"/>
      <c r="O68" s="14"/>
      <c r="P68" s="19" t="s">
        <v>2</v>
      </c>
      <c r="Q68" s="14"/>
      <c r="R68" s="14"/>
      <c r="S68" s="14"/>
      <c r="T68" s="14"/>
      <c r="U68" s="14"/>
      <c r="V68" s="14"/>
      <c r="W68" s="14"/>
      <c r="X68" s="14"/>
      <c r="Y68" s="14"/>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6"/>
    </row>
    <row r="69" spans="4:60" x14ac:dyDescent="0.25">
      <c r="D69" s="10">
        <f>D57*3/2</f>
        <v>0</v>
      </c>
      <c r="E69" s="10">
        <f>E57*2</f>
        <v>0</v>
      </c>
      <c r="F69" s="10">
        <f>F57*4</f>
        <v>0</v>
      </c>
      <c r="G69" s="10">
        <f>G57*2</f>
        <v>0</v>
      </c>
      <c r="H69" s="10">
        <f>H57*2</f>
        <v>0</v>
      </c>
      <c r="I69" s="10">
        <f>I57/2</f>
        <v>0</v>
      </c>
      <c r="J69" s="10"/>
      <c r="M69" s="14"/>
      <c r="N69" s="14"/>
      <c r="O69" s="14"/>
      <c r="P69" s="20">
        <f>P57*120</f>
        <v>240</v>
      </c>
      <c r="Q69" s="14"/>
      <c r="R69" s="14"/>
      <c r="S69" s="14"/>
      <c r="T69" s="14"/>
      <c r="U69" s="14"/>
      <c r="V69" s="14"/>
      <c r="W69" s="14"/>
      <c r="X69" s="14"/>
      <c r="Y69" s="14"/>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6"/>
    </row>
    <row r="70" spans="4:60" x14ac:dyDescent="0.25">
      <c r="D70" s="23"/>
      <c r="E70" s="23"/>
      <c r="F70" s="23"/>
      <c r="G70" s="23"/>
      <c r="H70" s="23"/>
      <c r="I70" s="23"/>
      <c r="J70" s="23"/>
      <c r="K70" s="23"/>
      <c r="L70" s="23"/>
      <c r="M70" s="24" t="str">
        <f>SUBSTITUTE(TRIM(SUBSTITUTE(A69,"."," "))," ",".")</f>
        <v/>
      </c>
      <c r="N70" s="23"/>
      <c r="P70" s="14"/>
      <c r="Q70" s="14"/>
      <c r="R70" s="14"/>
      <c r="S70" s="14"/>
      <c r="T70" s="14"/>
      <c r="U70" s="14"/>
      <c r="V70" s="14"/>
      <c r="W70" s="14"/>
      <c r="X70" s="14"/>
      <c r="Y70" s="14"/>
      <c r="Z70" s="14"/>
      <c r="AA70" s="14"/>
      <c r="AB70" s="14"/>
      <c r="AC70" s="14"/>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6"/>
    </row>
    <row r="71" spans="4:60" x14ac:dyDescent="0.25">
      <c r="D71" s="4" t="s">
        <v>128</v>
      </c>
      <c r="E71" s="6" t="s">
        <v>89</v>
      </c>
      <c r="F71" s="4" t="s">
        <v>127</v>
      </c>
      <c r="G71" s="6" t="s">
        <v>95</v>
      </c>
      <c r="H71" s="4" t="s">
        <v>102</v>
      </c>
      <c r="I71" s="6" t="s">
        <v>97</v>
      </c>
      <c r="J71" s="4" t="s">
        <v>104</v>
      </c>
      <c r="K71" s="6" t="s">
        <v>106</v>
      </c>
      <c r="L71" s="6" t="s">
        <v>103</v>
      </c>
      <c r="M71" s="4" t="s">
        <v>110</v>
      </c>
      <c r="N71" s="6" t="s">
        <v>114</v>
      </c>
      <c r="R71" s="14"/>
      <c r="S71" s="14"/>
      <c r="T71" s="14"/>
      <c r="U71" s="14"/>
      <c r="V71" s="14"/>
      <c r="W71" s="14"/>
      <c r="X71" s="14"/>
      <c r="Y71" s="14"/>
      <c r="Z71" s="14"/>
      <c r="AA71" s="14"/>
      <c r="AB71" s="14"/>
      <c r="AC71" s="14"/>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6"/>
    </row>
    <row r="72" spans="4:60" x14ac:dyDescent="0.25">
      <c r="D72" s="10">
        <f>B57*7.06</f>
        <v>0</v>
      </c>
      <c r="E72" s="10">
        <f>D72*1</f>
        <v>0</v>
      </c>
      <c r="F72" s="10">
        <f>B57*3.53</f>
        <v>0</v>
      </c>
      <c r="G72" s="10">
        <f>F72/2</f>
        <v>0</v>
      </c>
      <c r="H72" s="10">
        <f>B57*5.3</f>
        <v>0</v>
      </c>
      <c r="I72" s="10">
        <f>H72</f>
        <v>0</v>
      </c>
      <c r="J72" s="10">
        <f>B57*7.95</f>
        <v>0</v>
      </c>
      <c r="K72" s="10">
        <f>J72*2/3</f>
        <v>0</v>
      </c>
      <c r="L72" s="10">
        <f>K72/3</f>
        <v>0</v>
      </c>
      <c r="M72" s="10">
        <f>B57*10.59</f>
        <v>0</v>
      </c>
      <c r="N72" s="10">
        <f>M72/2</f>
        <v>0</v>
      </c>
      <c r="Q72" s="14"/>
      <c r="R72" s="14"/>
      <c r="S72" s="14"/>
      <c r="T72" s="14"/>
      <c r="U72" s="14"/>
      <c r="V72" s="14"/>
      <c r="W72" s="14"/>
      <c r="X72" s="14"/>
      <c r="Y72" s="14"/>
      <c r="Z72" s="14"/>
      <c r="AA72" s="14"/>
      <c r="AB72" s="14"/>
      <c r="AC72" s="14"/>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6"/>
    </row>
    <row r="73" spans="4:60" x14ac:dyDescent="0.25">
      <c r="D73" s="10"/>
      <c r="E73" s="10"/>
      <c r="F73" s="10"/>
      <c r="G73" s="10"/>
      <c r="H73" s="10"/>
      <c r="I73" s="10"/>
      <c r="J73" s="10"/>
      <c r="K73" s="10"/>
      <c r="L73" s="10"/>
      <c r="M73" s="10"/>
      <c r="N73" s="10"/>
      <c r="Q73" s="14"/>
      <c r="R73" s="14"/>
      <c r="S73" s="14"/>
      <c r="T73" s="14"/>
      <c r="U73" s="14"/>
      <c r="V73" s="14"/>
      <c r="W73" s="14"/>
      <c r="X73" s="14"/>
      <c r="Y73" s="14"/>
      <c r="Z73" s="14"/>
      <c r="AA73" s="14"/>
      <c r="AB73" s="14"/>
      <c r="AC73" s="14"/>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6"/>
    </row>
    <row r="74" spans="4:60" x14ac:dyDescent="0.25">
      <c r="D74" s="4" t="s">
        <v>129</v>
      </c>
      <c r="E74" s="6" t="s">
        <v>125</v>
      </c>
      <c r="F74" s="4" t="s">
        <v>124</v>
      </c>
      <c r="G74" s="6" t="s">
        <v>38</v>
      </c>
      <c r="H74" s="4" t="s">
        <v>99</v>
      </c>
      <c r="I74" s="6" t="s">
        <v>101</v>
      </c>
      <c r="J74" s="4" t="s">
        <v>107</v>
      </c>
      <c r="K74" s="6" t="s">
        <v>109</v>
      </c>
      <c r="L74" s="6" t="s">
        <v>60</v>
      </c>
      <c r="M74" s="4" t="s">
        <v>112</v>
      </c>
      <c r="N74" s="6" t="s">
        <v>116</v>
      </c>
      <c r="Q74" s="14"/>
      <c r="R74" s="14"/>
      <c r="S74" s="14"/>
      <c r="T74" s="14"/>
      <c r="U74" s="14"/>
      <c r="V74" s="14"/>
      <c r="W74" s="14"/>
      <c r="X74" s="14"/>
      <c r="Y74" s="14"/>
      <c r="Z74" s="14"/>
      <c r="AA74" s="14"/>
      <c r="AB74" s="14"/>
      <c r="AC74" s="14"/>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6"/>
    </row>
    <row r="75" spans="4:60" x14ac:dyDescent="0.25">
      <c r="D75" s="10">
        <f>D72/'Output ref'!L13</f>
        <v>0</v>
      </c>
      <c r="E75" s="10">
        <f>E72/'Output ref'!L7</f>
        <v>0</v>
      </c>
      <c r="F75" s="10">
        <f>F72/'Output ref'!K13</f>
        <v>0</v>
      </c>
      <c r="G75" s="10">
        <f>G72/'Output ref'!K10</f>
        <v>0</v>
      </c>
      <c r="H75" s="10">
        <f>H72/'Output ref'!M4</f>
        <v>0</v>
      </c>
      <c r="I75" s="10">
        <f>I72/'Output ref'!M7</f>
        <v>0</v>
      </c>
      <c r="J75" s="10">
        <f>J72/'Output ref'!N4</f>
        <v>0</v>
      </c>
      <c r="K75" s="10">
        <f>K72/'Output ref'!N7</f>
        <v>0</v>
      </c>
      <c r="L75" s="10">
        <f>L72/'Output ref'!M13</f>
        <v>0</v>
      </c>
      <c r="M75" s="10">
        <f>M72/'Output ref'!O4</f>
        <v>0</v>
      </c>
      <c r="N75" s="10">
        <f>N72/'Output ref'!O10</f>
        <v>0</v>
      </c>
      <c r="Q75" s="14"/>
      <c r="R75" s="14"/>
      <c r="S75" s="14"/>
      <c r="T75" s="14"/>
      <c r="U75" s="14"/>
      <c r="V75" s="14"/>
      <c r="W75" s="14"/>
      <c r="X75" s="14"/>
      <c r="Y75" s="14"/>
      <c r="Z75" s="14"/>
      <c r="AA75" s="14"/>
      <c r="AB75" s="14"/>
      <c r="AC75" s="14"/>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row>
    <row r="76" spans="4:60" x14ac:dyDescent="0.25">
      <c r="D76" s="10"/>
      <c r="E76" s="10"/>
      <c r="F76" s="10"/>
      <c r="G76" s="10"/>
      <c r="H76" s="10"/>
      <c r="I76" s="10"/>
      <c r="J76" s="10"/>
      <c r="K76" s="10"/>
      <c r="L76" s="10"/>
      <c r="M76" s="10"/>
      <c r="N76" s="10"/>
      <c r="Q76" s="14"/>
      <c r="R76" s="14"/>
      <c r="S76" s="14"/>
      <c r="T76" s="14"/>
      <c r="U76" s="14"/>
      <c r="V76" s="14"/>
      <c r="W76" s="14"/>
      <c r="X76" s="14"/>
      <c r="Y76" s="14"/>
      <c r="Z76" s="14"/>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row>
    <row r="77" spans="4:60" x14ac:dyDescent="0.25">
      <c r="D77" s="4"/>
      <c r="E77" s="6"/>
      <c r="F77" s="4"/>
      <c r="G77" s="6"/>
      <c r="H77" s="4" t="s">
        <v>137</v>
      </c>
      <c r="I77" s="6" t="s">
        <v>265</v>
      </c>
      <c r="J77" s="4"/>
      <c r="K77" s="6" t="s">
        <v>108</v>
      </c>
      <c r="L77" s="6"/>
      <c r="M77" s="4"/>
      <c r="N77" s="6" t="s">
        <v>264</v>
      </c>
      <c r="Q77" s="14"/>
    </row>
    <row r="78" spans="4:60" x14ac:dyDescent="0.25">
      <c r="D78" s="10"/>
      <c r="E78" s="10"/>
      <c r="F78" s="10"/>
      <c r="G78" s="10"/>
      <c r="H78" s="10">
        <f>H84/'Output ref'!K22</f>
        <v>0</v>
      </c>
      <c r="I78" s="10">
        <f>I80/'Output ref'!D4</f>
        <v>0</v>
      </c>
      <c r="J78" s="10"/>
      <c r="K78" s="10">
        <f>K84/'Output ref'!N13</f>
        <v>0</v>
      </c>
      <c r="L78" s="10"/>
      <c r="M78" s="10"/>
      <c r="N78" s="10">
        <f>N80/'Output ref'!C4</f>
        <v>0</v>
      </c>
    </row>
    <row r="79" spans="4:60" x14ac:dyDescent="0.25">
      <c r="D79" s="10"/>
      <c r="E79" s="10"/>
      <c r="F79" s="10"/>
      <c r="G79" s="10"/>
      <c r="H79" s="10"/>
      <c r="I79" s="6" t="s">
        <v>2</v>
      </c>
      <c r="J79" s="10"/>
      <c r="K79" s="10"/>
      <c r="L79" s="10"/>
      <c r="M79" s="10"/>
      <c r="N79" s="6" t="s">
        <v>115</v>
      </c>
    </row>
    <row r="80" spans="4:60" x14ac:dyDescent="0.25">
      <c r="D80" s="4" t="s">
        <v>277</v>
      </c>
      <c r="E80" s="6" t="s">
        <v>268</v>
      </c>
      <c r="F80" s="4" t="s">
        <v>269</v>
      </c>
      <c r="G80" s="6" t="s">
        <v>266</v>
      </c>
      <c r="H80" s="4" t="s">
        <v>270</v>
      </c>
      <c r="I80" s="10">
        <f>I84/2</f>
        <v>0</v>
      </c>
      <c r="J80" s="4" t="s">
        <v>272</v>
      </c>
      <c r="K80" s="6" t="s">
        <v>273</v>
      </c>
      <c r="L80" s="6" t="s">
        <v>274</v>
      </c>
      <c r="M80" s="4" t="s">
        <v>275</v>
      </c>
      <c r="N80" s="10">
        <f>N72*2</f>
        <v>0</v>
      </c>
      <c r="O80" s="9" t="s">
        <v>315</v>
      </c>
    </row>
    <row r="81" spans="4:16" x14ac:dyDescent="0.25">
      <c r="D81" s="10">
        <f>D84/'Output ref'!L10</f>
        <v>0</v>
      </c>
      <c r="E81" s="10">
        <f>E84/'Output ref'!L4</f>
        <v>0</v>
      </c>
      <c r="F81" s="10">
        <f>F84/'Output ref'!K16</f>
        <v>0</v>
      </c>
      <c r="G81" s="10">
        <f>G84/'Output ref'!K4</f>
        <v>0</v>
      </c>
      <c r="H81" s="10">
        <f>H84/'Output ref'!K19</f>
        <v>0</v>
      </c>
      <c r="I81" s="6" t="s">
        <v>271</v>
      </c>
      <c r="J81" s="10">
        <f>J84/'Output ref'!N10</f>
        <v>0</v>
      </c>
      <c r="K81" s="10">
        <f>K84/'Output ref'!C28</f>
        <v>0</v>
      </c>
      <c r="L81" s="10">
        <f>L84/'Output ref'!M16</f>
        <v>0</v>
      </c>
      <c r="M81" s="10">
        <f>M84/'Output ref'!O7</f>
        <v>0</v>
      </c>
      <c r="N81" s="6" t="s">
        <v>271</v>
      </c>
    </row>
    <row r="82" spans="4:16" x14ac:dyDescent="0.25">
      <c r="D82" s="10"/>
      <c r="E82" s="10"/>
      <c r="F82" s="10"/>
      <c r="G82" s="10"/>
      <c r="H82" s="10"/>
      <c r="I82" s="10">
        <f>I84/'Output ref'!M10</f>
        <v>0</v>
      </c>
      <c r="J82" s="10"/>
      <c r="K82" s="10"/>
      <c r="L82" s="10"/>
      <c r="M82" s="10"/>
      <c r="N82" s="10">
        <f>N84/'Output ref'!O16</f>
        <v>0</v>
      </c>
      <c r="O82" s="22"/>
      <c r="P82" s="22"/>
    </row>
    <row r="83" spans="4:16" x14ac:dyDescent="0.25">
      <c r="D83" s="4" t="s">
        <v>87</v>
      </c>
      <c r="E83" s="6" t="s">
        <v>90</v>
      </c>
      <c r="F83" s="4" t="s">
        <v>94</v>
      </c>
      <c r="G83" s="6" t="s">
        <v>32</v>
      </c>
      <c r="H83" s="4" t="s">
        <v>134</v>
      </c>
      <c r="I83" s="6" t="s">
        <v>98</v>
      </c>
      <c r="J83" s="4" t="s">
        <v>105</v>
      </c>
      <c r="K83" s="6" t="s">
        <v>123</v>
      </c>
      <c r="L83" s="6" t="s">
        <v>100</v>
      </c>
      <c r="M83" s="4" t="s">
        <v>111</v>
      </c>
      <c r="N83" s="6" t="s">
        <v>98</v>
      </c>
    </row>
    <row r="84" spans="4:16" x14ac:dyDescent="0.25">
      <c r="D84" s="10">
        <f>D72</f>
        <v>0</v>
      </c>
      <c r="E84" s="10">
        <f>E72*2</f>
        <v>0</v>
      </c>
      <c r="F84" s="10">
        <f>F72/2</f>
        <v>0</v>
      </c>
      <c r="G84" s="10">
        <f>G72</f>
        <v>0</v>
      </c>
      <c r="H84" s="10">
        <f>H72/3</f>
        <v>0</v>
      </c>
      <c r="I84" s="10">
        <f>I72</f>
        <v>0</v>
      </c>
      <c r="J84" s="10">
        <f>J72*4/3</f>
        <v>0</v>
      </c>
      <c r="K84" s="10">
        <f>K72*16/3</f>
        <v>0</v>
      </c>
      <c r="L84" s="10">
        <f>L72</f>
        <v>0</v>
      </c>
      <c r="M84" s="10">
        <f>M72</f>
        <v>0</v>
      </c>
      <c r="N84" s="10">
        <f>N72</f>
        <v>0</v>
      </c>
    </row>
    <row r="85" spans="4:16" x14ac:dyDescent="0.25">
      <c r="D85" s="23"/>
      <c r="E85" s="23"/>
      <c r="F85" s="23"/>
      <c r="G85" s="22"/>
      <c r="H85" s="22"/>
      <c r="I85" s="22"/>
      <c r="J85" s="22"/>
      <c r="K85" s="22"/>
      <c r="L85" s="22"/>
      <c r="M85" s="22"/>
      <c r="N85" s="22"/>
    </row>
    <row r="86" spans="4:16" x14ac:dyDescent="0.25">
      <c r="D86" s="25" t="s">
        <v>118</v>
      </c>
      <c r="E86" s="25" t="s">
        <v>119</v>
      </c>
      <c r="F86" s="37" t="s">
        <v>132</v>
      </c>
      <c r="G86" s="26"/>
      <c r="H86" s="27"/>
      <c r="I86" s="27"/>
      <c r="J86" s="27"/>
      <c r="K86" s="27"/>
      <c r="L86" s="27"/>
      <c r="M86" s="27"/>
      <c r="N86" s="27"/>
    </row>
    <row r="87" spans="4:16" x14ac:dyDescent="0.25">
      <c r="D87" s="67">
        <v>1</v>
      </c>
      <c r="E87" s="67">
        <v>1</v>
      </c>
      <c r="F87" s="10">
        <f>E93*4</f>
        <v>60</v>
      </c>
      <c r="G87" s="27"/>
      <c r="H87" s="27"/>
      <c r="I87" s="27"/>
      <c r="J87" s="27"/>
      <c r="K87" s="27"/>
      <c r="L87" s="27"/>
      <c r="M87" s="27"/>
      <c r="N87" s="27"/>
    </row>
    <row r="88" spans="4:16" x14ac:dyDescent="0.25">
      <c r="D88" s="10"/>
      <c r="E88" s="10"/>
      <c r="F88" s="10"/>
      <c r="G88" s="27"/>
      <c r="H88" s="27"/>
      <c r="I88" s="27"/>
      <c r="J88" s="27"/>
      <c r="K88" s="27"/>
      <c r="L88" s="27"/>
      <c r="M88" s="27"/>
      <c r="N88" s="27"/>
    </row>
    <row r="89" spans="4:16" x14ac:dyDescent="0.25">
      <c r="D89" s="25"/>
      <c r="E89" s="25" t="s">
        <v>131</v>
      </c>
      <c r="F89" s="37" t="s">
        <v>122</v>
      </c>
      <c r="G89" s="26"/>
      <c r="H89" s="27"/>
      <c r="I89" s="27"/>
      <c r="J89" s="27"/>
      <c r="K89" s="27"/>
      <c r="L89" s="27"/>
      <c r="M89" s="27"/>
      <c r="N89" s="27"/>
      <c r="O89" s="27"/>
    </row>
    <row r="90" spans="4:16" x14ac:dyDescent="0.25">
      <c r="D90" s="10"/>
      <c r="E90" s="10">
        <f>E93/'Output ref'!E21</f>
        <v>2</v>
      </c>
      <c r="F90" s="10">
        <f>F87/'Output ref'!E24</f>
        <v>2</v>
      </c>
      <c r="G90" s="27"/>
      <c r="H90" s="27" t="s">
        <v>147</v>
      </c>
      <c r="I90" s="27"/>
      <c r="J90" s="27"/>
      <c r="K90" s="27"/>
      <c r="L90" s="27"/>
      <c r="M90" s="27"/>
      <c r="N90" s="27"/>
    </row>
    <row r="91" spans="4:16" x14ac:dyDescent="0.25">
      <c r="D91" s="10"/>
      <c r="E91" s="10"/>
      <c r="F91" s="10"/>
      <c r="H91" s="27" t="s">
        <v>146</v>
      </c>
      <c r="I91" s="27"/>
      <c r="J91" s="27"/>
      <c r="K91" s="27"/>
      <c r="M91" s="27"/>
      <c r="N91" s="27"/>
    </row>
    <row r="92" spans="4:16" x14ac:dyDescent="0.25">
      <c r="D92" s="25"/>
      <c r="E92" s="25" t="s">
        <v>120</v>
      </c>
      <c r="F92" s="37"/>
      <c r="H92" s="27"/>
      <c r="I92" s="27"/>
      <c r="J92" s="27"/>
      <c r="K92" s="22"/>
      <c r="L92" s="27"/>
      <c r="M92" s="27"/>
      <c r="N92" s="27"/>
    </row>
    <row r="93" spans="4:16" x14ac:dyDescent="0.25">
      <c r="D93" s="10"/>
      <c r="E93" s="10">
        <f>E87*15</f>
        <v>15</v>
      </c>
      <c r="F93" s="10"/>
      <c r="G93" s="27"/>
      <c r="H93" s="27"/>
      <c r="I93" s="27"/>
      <c r="J93" s="27"/>
      <c r="K93" s="27"/>
      <c r="L93" s="27"/>
      <c r="M93" s="27"/>
      <c r="N93" s="27"/>
    </row>
    <row r="94" spans="4:16" x14ac:dyDescent="0.25">
      <c r="D94" s="10"/>
      <c r="E94" s="10"/>
      <c r="F94" s="10"/>
      <c r="G94" s="27"/>
      <c r="H94" s="27"/>
      <c r="I94" s="27"/>
      <c r="J94" s="27"/>
      <c r="L94" s="27"/>
      <c r="M94" s="27"/>
    </row>
    <row r="95" spans="4:16" x14ac:dyDescent="0.25">
      <c r="D95" s="25" t="s">
        <v>276</v>
      </c>
      <c r="E95" s="25" t="s">
        <v>277</v>
      </c>
      <c r="F95" s="37" t="s">
        <v>273</v>
      </c>
      <c r="G95" s="26"/>
      <c r="H95" s="27"/>
      <c r="I95" s="27"/>
      <c r="J95" s="27"/>
      <c r="K95" s="27"/>
      <c r="L95" s="27"/>
      <c r="M95" s="27"/>
      <c r="N95" s="27"/>
    </row>
    <row r="96" spans="4:16" x14ac:dyDescent="0.25">
      <c r="D96" s="10">
        <f>D99/'Output ref'!C21</f>
        <v>40</v>
      </c>
      <c r="E96" s="10">
        <f>E99/'Output ref'!L10</f>
        <v>8</v>
      </c>
      <c r="F96" s="10"/>
      <c r="G96" s="27"/>
      <c r="H96" s="27"/>
      <c r="I96" s="27"/>
      <c r="J96" s="27"/>
      <c r="K96" s="27"/>
      <c r="L96" s="27"/>
      <c r="M96" s="27"/>
      <c r="N96" s="27"/>
    </row>
    <row r="97" spans="2:29" x14ac:dyDescent="0.25">
      <c r="D97" s="10"/>
      <c r="E97" s="10"/>
      <c r="F97" s="10"/>
      <c r="G97" s="27"/>
      <c r="H97" s="27"/>
      <c r="I97" s="27"/>
      <c r="K97" s="27"/>
      <c r="L97" s="27"/>
      <c r="M97" s="27"/>
      <c r="N97" s="27"/>
    </row>
    <row r="98" spans="2:29" x14ac:dyDescent="0.25">
      <c r="D98" s="25" t="s">
        <v>117</v>
      </c>
      <c r="E98" s="25" t="s">
        <v>121</v>
      </c>
      <c r="F98" s="37" t="s">
        <v>123</v>
      </c>
      <c r="G98" s="26"/>
      <c r="H98" s="27"/>
      <c r="I98" s="27"/>
      <c r="K98" s="27"/>
      <c r="L98" s="27"/>
      <c r="M98" s="27"/>
      <c r="N98" s="27"/>
    </row>
    <row r="99" spans="2:29" x14ac:dyDescent="0.25">
      <c r="D99" s="10">
        <f>D87*20</f>
        <v>20</v>
      </c>
      <c r="E99" s="10">
        <f>E93*2</f>
        <v>30</v>
      </c>
      <c r="F99" s="10">
        <f>F87*16</f>
        <v>960</v>
      </c>
      <c r="G99" s="27"/>
      <c r="H99" s="27"/>
      <c r="I99" s="27"/>
      <c r="K99" s="27"/>
      <c r="L99" s="27"/>
      <c r="M99" s="27"/>
      <c r="N99" s="27"/>
    </row>
    <row r="100" spans="2:29" x14ac:dyDescent="0.25">
      <c r="D100" s="22"/>
      <c r="E100" s="22"/>
      <c r="F100" s="22"/>
      <c r="AC100" s="8"/>
    </row>
    <row r="102" spans="2:29" x14ac:dyDescent="0.25">
      <c r="B102" s="29" t="s">
        <v>196</v>
      </c>
      <c r="C102" s="29"/>
      <c r="D102" s="30"/>
      <c r="E102" s="30"/>
      <c r="F102" s="30"/>
      <c r="G102" s="30"/>
      <c r="H102" s="30"/>
      <c r="I102" s="30"/>
      <c r="J102" s="30"/>
      <c r="K102" s="30"/>
      <c r="L102" s="30"/>
      <c r="M102" s="30"/>
      <c r="N102" s="30"/>
      <c r="O102" s="30"/>
      <c r="P102" s="30"/>
    </row>
    <row r="103" spans="2:29" x14ac:dyDescent="0.25">
      <c r="D103" s="4" t="s">
        <v>115</v>
      </c>
      <c r="E103" s="4" t="s">
        <v>23</v>
      </c>
      <c r="F103" s="4" t="s">
        <v>12</v>
      </c>
      <c r="G103" s="4" t="s">
        <v>79</v>
      </c>
      <c r="H103" s="4" t="s">
        <v>13</v>
      </c>
      <c r="I103" s="4" t="s">
        <v>29</v>
      </c>
      <c r="J103" s="4" t="s">
        <v>27</v>
      </c>
      <c r="K103" s="4" t="s">
        <v>34</v>
      </c>
      <c r="N103" s="25" t="s">
        <v>2</v>
      </c>
      <c r="O103" s="25" t="s">
        <v>117</v>
      </c>
      <c r="P103" s="25" t="s">
        <v>121</v>
      </c>
    </row>
    <row r="104" spans="2:29" x14ac:dyDescent="0.25">
      <c r="D104" s="22" t="str">
        <f>IF((D51+N78+D36)&gt;0,(D51+N78+D36),"")</f>
        <v/>
      </c>
      <c r="E104" s="22">
        <f>E51+D66</f>
        <v>0</v>
      </c>
      <c r="F104" s="22">
        <f>F51+I51+E66+G36</f>
        <v>0</v>
      </c>
      <c r="G104" s="22" t="str">
        <f>"Sheep - "&amp;(H54/'Output ref'!E4)+(G69/'Output ref'!E4)+(F39/'Output ref'!E4)</f>
        <v>Sheep - 0</v>
      </c>
      <c r="H104" s="22">
        <f>J51+H66+H36</f>
        <v>0</v>
      </c>
      <c r="I104" s="22">
        <f>K51+I66</f>
        <v>0</v>
      </c>
      <c r="J104" s="22">
        <f>L51+J66</f>
        <v>0</v>
      </c>
      <c r="K104" s="22">
        <f>M51+G81</f>
        <v>0</v>
      </c>
      <c r="L104" s="22"/>
      <c r="N104" s="9">
        <f>P51+P66</f>
        <v>96</v>
      </c>
      <c r="O104" s="9">
        <f>D96</f>
        <v>40</v>
      </c>
      <c r="P104" s="9">
        <f>E96</f>
        <v>8</v>
      </c>
    </row>
    <row r="105" spans="2:29" x14ac:dyDescent="0.25">
      <c r="D105" s="22"/>
      <c r="E105" s="22"/>
      <c r="F105" s="22"/>
      <c r="G105" s="22" t="str">
        <f>"Cotton field - " &amp;  (G69/'Output ref'!E16)+(H54/'Output ref'!E16)+(F39/'Output ref'!E16)</f>
        <v>Cotton field - 0</v>
      </c>
      <c r="H105" s="22"/>
      <c r="I105" s="22"/>
      <c r="J105" s="22"/>
      <c r="K105" s="22"/>
      <c r="L105" s="22"/>
      <c r="M105" s="17"/>
      <c r="P105" s="14"/>
    </row>
    <row r="106" spans="2:29" x14ac:dyDescent="0.25">
      <c r="D106" s="22"/>
      <c r="E106" s="22"/>
      <c r="F106" s="22"/>
      <c r="G106" s="22"/>
      <c r="H106" s="22"/>
      <c r="I106" s="22"/>
      <c r="J106" s="22"/>
      <c r="K106" s="22"/>
      <c r="L106" s="22"/>
      <c r="M106" s="17"/>
      <c r="P106" s="14"/>
    </row>
    <row r="107" spans="2:29" x14ac:dyDescent="0.25">
      <c r="D107" s="4" t="s">
        <v>87</v>
      </c>
      <c r="E107" s="4" t="s">
        <v>90</v>
      </c>
      <c r="F107" s="4" t="s">
        <v>94</v>
      </c>
      <c r="G107" s="4" t="s">
        <v>105</v>
      </c>
      <c r="H107" s="4" t="s">
        <v>100</v>
      </c>
      <c r="I107" s="4" t="s">
        <v>98</v>
      </c>
      <c r="J107" s="4" t="s">
        <v>111</v>
      </c>
      <c r="K107" s="4" t="s">
        <v>134</v>
      </c>
      <c r="L107" s="4" t="s">
        <v>2</v>
      </c>
      <c r="N107" s="14"/>
    </row>
    <row r="108" spans="2:29" x14ac:dyDescent="0.25">
      <c r="D108" s="22">
        <f>D81</f>
        <v>0</v>
      </c>
      <c r="E108" s="22">
        <f>E81</f>
        <v>0</v>
      </c>
      <c r="F108" s="22">
        <f>F81</f>
        <v>0</v>
      </c>
      <c r="G108" s="22">
        <f>J81</f>
        <v>0</v>
      </c>
      <c r="H108" s="22">
        <f>L81</f>
        <v>0</v>
      </c>
      <c r="I108" s="22">
        <f>I82+N82</f>
        <v>0</v>
      </c>
      <c r="J108" s="22">
        <f>M81</f>
        <v>0</v>
      </c>
      <c r="K108" s="22">
        <f>H81</f>
        <v>0</v>
      </c>
      <c r="L108" s="22">
        <f>I78+E36</f>
        <v>0</v>
      </c>
    </row>
    <row r="109" spans="2:29" x14ac:dyDescent="0.25">
      <c r="F109" s="22"/>
      <c r="G109" s="22"/>
      <c r="H109" s="22"/>
      <c r="I109" s="22"/>
      <c r="J109" s="22"/>
      <c r="K109" s="22"/>
      <c r="L109" s="22"/>
      <c r="AC109" s="8"/>
    </row>
    <row r="111" spans="2:29" x14ac:dyDescent="0.25">
      <c r="B111" s="29" t="s">
        <v>177</v>
      </c>
      <c r="C111" s="29"/>
      <c r="D111" s="30"/>
      <c r="E111" s="30"/>
      <c r="F111" s="30"/>
      <c r="G111" s="30"/>
      <c r="H111" s="30"/>
      <c r="I111" s="30"/>
      <c r="J111" s="30"/>
      <c r="K111" s="30"/>
      <c r="L111" s="30"/>
      <c r="M111" s="30"/>
      <c r="N111" s="30"/>
      <c r="O111" s="30"/>
      <c r="P111" s="30"/>
    </row>
    <row r="112" spans="2:29" x14ac:dyDescent="0.25">
      <c r="D112" s="4" t="s">
        <v>41</v>
      </c>
      <c r="E112" s="4" t="s">
        <v>24</v>
      </c>
      <c r="F112" s="4" t="s">
        <v>40</v>
      </c>
      <c r="G112" s="4" t="s">
        <v>11</v>
      </c>
      <c r="H112" s="4" t="s">
        <v>35</v>
      </c>
      <c r="I112" s="4" t="s">
        <v>15</v>
      </c>
      <c r="J112" s="4" t="s">
        <v>80</v>
      </c>
      <c r="K112" s="4" t="s">
        <v>81</v>
      </c>
      <c r="L112" s="4" t="s">
        <v>37</v>
      </c>
      <c r="M112" s="18" t="s">
        <v>82</v>
      </c>
      <c r="O112" s="25" t="s">
        <v>131</v>
      </c>
      <c r="P112" s="25" t="s">
        <v>130</v>
      </c>
      <c r="AC112" s="8"/>
    </row>
    <row r="113" spans="2:29" x14ac:dyDescent="0.25">
      <c r="D113" s="22">
        <f>E45+D60</f>
        <v>0</v>
      </c>
      <c r="E113" s="22">
        <f>F45+E60</f>
        <v>0</v>
      </c>
      <c r="F113" s="22">
        <f>G45+F60</f>
        <v>0</v>
      </c>
      <c r="G113" s="22" t="str">
        <f>"Weaver - "&amp;ROUND((G57/'Output ref'!E7+H42/'Output ref'!E7),2)</f>
        <v>Weaver - 0</v>
      </c>
      <c r="H113" s="22">
        <f>I45</f>
        <v>0</v>
      </c>
      <c r="I113" s="22">
        <f>I48</f>
        <v>0</v>
      </c>
      <c r="J113" s="22">
        <f>J45+H60</f>
        <v>0</v>
      </c>
      <c r="K113" s="22">
        <f>K45+I60</f>
        <v>0</v>
      </c>
      <c r="L113" s="22">
        <f>M45</f>
        <v>0</v>
      </c>
      <c r="M113" s="36">
        <f>M48+G75</f>
        <v>0</v>
      </c>
      <c r="N113" s="22"/>
      <c r="O113" s="9">
        <f>E90</f>
        <v>2</v>
      </c>
      <c r="P113" s="9">
        <f>F90</f>
        <v>2</v>
      </c>
    </row>
    <row r="114" spans="2:29" x14ac:dyDescent="0.25">
      <c r="D114" s="22"/>
      <c r="E114" s="22"/>
      <c r="F114" s="22"/>
      <c r="G114" s="22" t="str">
        <f>"Textile Mill - "&amp;ROUND((G57/'Output ref'!E10+H42/'Output ref'!E10),2)</f>
        <v>Textile Mill - 0</v>
      </c>
      <c r="H114" s="22"/>
      <c r="I114" s="22"/>
      <c r="J114" s="22"/>
      <c r="K114" s="22"/>
      <c r="L114" s="22"/>
      <c r="M114" s="36"/>
      <c r="N114" s="22"/>
    </row>
    <row r="115" spans="2:29" x14ac:dyDescent="0.25">
      <c r="D115" s="22"/>
      <c r="E115" s="22"/>
      <c r="F115" s="22"/>
      <c r="G115" s="22"/>
      <c r="H115" s="22"/>
      <c r="I115" s="22"/>
      <c r="J115" s="22"/>
      <c r="K115" s="22"/>
      <c r="L115" s="22"/>
      <c r="M115" s="36"/>
      <c r="N115" s="22"/>
    </row>
    <row r="116" spans="2:29" x14ac:dyDescent="0.25">
      <c r="D116" s="4" t="s">
        <v>126</v>
      </c>
      <c r="E116" s="4" t="s">
        <v>125</v>
      </c>
      <c r="F116" s="4" t="s">
        <v>124</v>
      </c>
      <c r="G116" s="4" t="s">
        <v>99</v>
      </c>
      <c r="H116" s="4" t="s">
        <v>66</v>
      </c>
      <c r="I116" s="4" t="s">
        <v>101</v>
      </c>
      <c r="J116" s="4" t="s">
        <v>107</v>
      </c>
      <c r="K116" s="4" t="s">
        <v>109</v>
      </c>
      <c r="L116" s="4" t="s">
        <v>108</v>
      </c>
      <c r="M116" s="18" t="s">
        <v>112</v>
      </c>
      <c r="N116" s="18" t="s">
        <v>116</v>
      </c>
      <c r="O116" s="18" t="s">
        <v>138</v>
      </c>
      <c r="P116" s="21" t="s">
        <v>84</v>
      </c>
    </row>
    <row r="117" spans="2:29" x14ac:dyDescent="0.25">
      <c r="D117" s="9">
        <f>D75</f>
        <v>0</v>
      </c>
      <c r="E117" s="9">
        <f>E75</f>
        <v>0</v>
      </c>
      <c r="F117" s="9">
        <f>F75</f>
        <v>0</v>
      </c>
      <c r="G117" s="9">
        <f>H75</f>
        <v>0</v>
      </c>
      <c r="H117" s="9">
        <f>L75</f>
        <v>0</v>
      </c>
      <c r="I117" s="9">
        <f>I75</f>
        <v>0</v>
      </c>
      <c r="J117" s="9">
        <f>J75</f>
        <v>0</v>
      </c>
      <c r="K117" s="9">
        <f>K75</f>
        <v>0</v>
      </c>
      <c r="L117" s="9">
        <f>K78</f>
        <v>0</v>
      </c>
      <c r="M117" s="9">
        <f>M75</f>
        <v>0</v>
      </c>
      <c r="N117" s="9">
        <f>N75</f>
        <v>0</v>
      </c>
      <c r="O117" s="9">
        <f>H78</f>
        <v>0</v>
      </c>
      <c r="P117" s="14">
        <f>(P57+P42)*3</f>
        <v>9</v>
      </c>
    </row>
    <row r="118" spans="2:29" x14ac:dyDescent="0.25">
      <c r="F118" s="22"/>
      <c r="G118" s="22"/>
      <c r="H118" s="22"/>
      <c r="I118" s="22"/>
      <c r="J118" s="22"/>
      <c r="K118" s="22"/>
      <c r="L118" s="22"/>
      <c r="M118" s="22"/>
      <c r="N118" s="22"/>
      <c r="O118" s="22"/>
    </row>
    <row r="120" spans="2:29" x14ac:dyDescent="0.25">
      <c r="B120" s="29" t="s">
        <v>178</v>
      </c>
      <c r="C120" s="29"/>
      <c r="D120" s="30"/>
      <c r="E120" s="30"/>
      <c r="F120" s="30"/>
      <c r="G120" s="30"/>
      <c r="H120" s="30"/>
      <c r="I120" s="30"/>
      <c r="J120" s="30"/>
      <c r="K120" s="30"/>
      <c r="L120" s="30"/>
      <c r="M120" s="30"/>
      <c r="N120" s="30"/>
      <c r="O120" s="30"/>
      <c r="P120" s="30"/>
    </row>
    <row r="121" spans="2:29" x14ac:dyDescent="0.25">
      <c r="D121" s="4" t="s">
        <v>0</v>
      </c>
      <c r="E121" s="4" t="s">
        <v>133</v>
      </c>
      <c r="F121" s="4" t="s">
        <v>17</v>
      </c>
      <c r="G121" s="4" t="s">
        <v>8</v>
      </c>
      <c r="H121" s="4" t="s">
        <v>9</v>
      </c>
      <c r="I121" s="4" t="s">
        <v>19</v>
      </c>
      <c r="J121" s="4" t="s">
        <v>20</v>
      </c>
      <c r="N121" s="25" t="s">
        <v>85</v>
      </c>
      <c r="O121" s="21" t="s">
        <v>120</v>
      </c>
      <c r="P121" s="21" t="s">
        <v>117</v>
      </c>
    </row>
    <row r="122" spans="2:29" x14ac:dyDescent="0.25">
      <c r="D122" s="9">
        <f>D42</f>
        <v>0</v>
      </c>
      <c r="E122" s="9">
        <f>E42+D57</f>
        <v>0</v>
      </c>
      <c r="F122" s="9">
        <f>G42+F57</f>
        <v>0</v>
      </c>
      <c r="G122" s="9">
        <f>I42</f>
        <v>0</v>
      </c>
      <c r="H122" s="9">
        <f>J42+H57</f>
        <v>0</v>
      </c>
      <c r="I122" s="9">
        <f>K42+I57</f>
        <v>0</v>
      </c>
      <c r="J122" s="9">
        <f>M42</f>
        <v>0</v>
      </c>
      <c r="N122" s="9">
        <f>P60+P45</f>
        <v>180</v>
      </c>
      <c r="O122" s="9">
        <f>E93</f>
        <v>15</v>
      </c>
      <c r="P122" s="9">
        <f>D99</f>
        <v>20</v>
      </c>
    </row>
    <row r="123" spans="2:29" x14ac:dyDescent="0.25">
      <c r="D123" s="22"/>
      <c r="E123" s="22"/>
      <c r="F123" s="22"/>
      <c r="G123" s="22"/>
      <c r="H123" s="22"/>
      <c r="I123" s="22"/>
      <c r="J123" s="22"/>
      <c r="K123" s="22"/>
      <c r="L123" s="22"/>
      <c r="M123" s="22"/>
      <c r="N123" s="22"/>
    </row>
    <row r="124" spans="2:29" x14ac:dyDescent="0.25">
      <c r="AB124" s="8"/>
      <c r="AC124" s="8"/>
    </row>
    <row r="125" spans="2:29" x14ac:dyDescent="0.25">
      <c r="D125" s="4" t="s">
        <v>128</v>
      </c>
      <c r="E125" s="4" t="s">
        <v>127</v>
      </c>
      <c r="F125" s="4" t="s">
        <v>102</v>
      </c>
      <c r="G125" s="4" t="s">
        <v>104</v>
      </c>
      <c r="H125" s="4" t="s">
        <v>110</v>
      </c>
    </row>
    <row r="126" spans="2:29" x14ac:dyDescent="0.25">
      <c r="D126" s="9">
        <f>D72</f>
        <v>0</v>
      </c>
      <c r="E126" s="9">
        <f>F72</f>
        <v>0</v>
      </c>
      <c r="F126" s="9">
        <f>H72</f>
        <v>0</v>
      </c>
      <c r="G126" s="9">
        <f>J72</f>
        <v>0</v>
      </c>
      <c r="H126" s="9">
        <f>M72</f>
        <v>0</v>
      </c>
    </row>
    <row r="127" spans="2:29" x14ac:dyDescent="0.25">
      <c r="D127" s="39"/>
      <c r="E127" s="22"/>
      <c r="F127" s="22"/>
      <c r="G127" s="22"/>
      <c r="H127" s="22"/>
      <c r="I127" s="39"/>
      <c r="J127" s="39"/>
      <c r="K127" s="39"/>
      <c r="L127" s="39"/>
      <c r="M127" s="39"/>
      <c r="N127" s="39"/>
      <c r="O127" s="39"/>
      <c r="P127" s="39"/>
      <c r="Q127" s="39"/>
      <c r="R127" s="39"/>
      <c r="S127" s="39"/>
      <c r="T127" s="39"/>
      <c r="U127" s="39"/>
      <c r="V127" s="39"/>
      <c r="W127" s="39"/>
      <c r="X127" s="39"/>
      <c r="Y127" s="39"/>
      <c r="Z127" s="39"/>
      <c r="AA127" s="39"/>
      <c r="AB127" s="39"/>
      <c r="AC127" s="39"/>
    </row>
    <row r="128" spans="2:29" x14ac:dyDescent="0.25">
      <c r="B128" s="29"/>
      <c r="C128" s="29"/>
      <c r="D128" s="30"/>
      <c r="E128" s="30"/>
      <c r="F128" s="30"/>
      <c r="G128" s="30"/>
      <c r="H128" s="30"/>
      <c r="I128" s="30"/>
      <c r="J128" s="30"/>
      <c r="K128" s="30"/>
      <c r="L128" s="30"/>
      <c r="M128" s="30"/>
      <c r="N128" s="30"/>
      <c r="O128" s="30"/>
      <c r="P128" s="30"/>
    </row>
    <row r="129" spans="4:14" ht="15.75" thickBot="1" x14ac:dyDescent="0.3"/>
    <row r="130" spans="4:14" x14ac:dyDescent="0.25">
      <c r="D130" s="130" t="s">
        <v>42</v>
      </c>
      <c r="E130" s="162" t="s">
        <v>322</v>
      </c>
      <c r="F130" s="172"/>
      <c r="G130" s="163"/>
      <c r="I130" s="130" t="s">
        <v>314</v>
      </c>
      <c r="J130" s="162" t="s">
        <v>322</v>
      </c>
      <c r="K130" s="172"/>
      <c r="L130" s="163"/>
      <c r="N130" s="82"/>
    </row>
    <row r="131" spans="4:14" x14ac:dyDescent="0.25">
      <c r="D131" s="162" t="s">
        <v>171</v>
      </c>
      <c r="E131" s="163"/>
      <c r="F131" s="76" t="s">
        <v>175</v>
      </c>
      <c r="G131" s="46" t="s">
        <v>170</v>
      </c>
      <c r="I131" s="165" t="s">
        <v>171</v>
      </c>
      <c r="J131" s="165"/>
      <c r="K131" s="76" t="s">
        <v>175</v>
      </c>
      <c r="L131" s="46" t="s">
        <v>170</v>
      </c>
    </row>
    <row r="132" spans="4:14" x14ac:dyDescent="0.25">
      <c r="D132" s="74" t="s">
        <v>182</v>
      </c>
      <c r="E132" s="75">
        <v>28.8</v>
      </c>
      <c r="F132" s="77"/>
      <c r="G132" s="45">
        <f t="shared" ref="G132:G139" si="0">E132*F132</f>
        <v>0</v>
      </c>
      <c r="I132" s="74" t="s">
        <v>182</v>
      </c>
      <c r="J132" s="75">
        <v>55.4</v>
      </c>
      <c r="K132" s="77"/>
      <c r="L132" s="45">
        <f t="shared" ref="L132:L139" si="1">J132*K132</f>
        <v>0</v>
      </c>
    </row>
    <row r="133" spans="4:14" x14ac:dyDescent="0.25">
      <c r="D133" s="46" t="s">
        <v>43</v>
      </c>
      <c r="E133" s="63">
        <v>41.5</v>
      </c>
      <c r="F133" s="78"/>
      <c r="G133" s="45">
        <f t="shared" si="0"/>
        <v>0</v>
      </c>
      <c r="I133" s="46" t="s">
        <v>43</v>
      </c>
      <c r="J133" s="63">
        <v>77.099999999999994</v>
      </c>
      <c r="K133" s="78"/>
      <c r="L133" s="45">
        <f t="shared" si="1"/>
        <v>0</v>
      </c>
    </row>
    <row r="134" spans="4:14" x14ac:dyDescent="0.25">
      <c r="D134" s="46" t="s">
        <v>44</v>
      </c>
      <c r="E134" s="63">
        <v>86.4</v>
      </c>
      <c r="F134" s="78"/>
      <c r="G134" s="45">
        <f t="shared" si="0"/>
        <v>0</v>
      </c>
      <c r="I134" s="46" t="s">
        <v>44</v>
      </c>
      <c r="J134" s="63">
        <v>166.2</v>
      </c>
      <c r="K134" s="78"/>
      <c r="L134" s="45">
        <f t="shared" si="1"/>
        <v>0</v>
      </c>
    </row>
    <row r="135" spans="4:14" x14ac:dyDescent="0.25">
      <c r="D135" s="46" t="s">
        <v>45</v>
      </c>
      <c r="E135" s="63">
        <v>120</v>
      </c>
      <c r="F135" s="78"/>
      <c r="G135" s="45">
        <f t="shared" si="0"/>
        <v>0</v>
      </c>
      <c r="H135" s="9" t="s">
        <v>188</v>
      </c>
      <c r="I135" s="46" t="s">
        <v>45</v>
      </c>
      <c r="J135" s="63">
        <v>216</v>
      </c>
      <c r="K135" s="78"/>
      <c r="L135" s="45">
        <f t="shared" si="1"/>
        <v>0</v>
      </c>
    </row>
    <row r="136" spans="4:14" x14ac:dyDescent="0.25">
      <c r="D136" s="46" t="s">
        <v>46</v>
      </c>
      <c r="E136" s="63">
        <v>259.2</v>
      </c>
      <c r="F136" s="78"/>
      <c r="G136" s="45">
        <f t="shared" si="0"/>
        <v>0</v>
      </c>
      <c r="I136" s="46" t="s">
        <v>46</v>
      </c>
      <c r="J136" s="63">
        <v>498.5</v>
      </c>
      <c r="K136" s="78"/>
      <c r="L136" s="45">
        <f t="shared" si="1"/>
        <v>0</v>
      </c>
    </row>
    <row r="137" spans="4:14" x14ac:dyDescent="0.25">
      <c r="D137" s="46" t="s">
        <v>47</v>
      </c>
      <c r="E137" s="63">
        <v>342.9</v>
      </c>
      <c r="F137" s="78"/>
      <c r="G137" s="45">
        <f t="shared" si="0"/>
        <v>0</v>
      </c>
      <c r="I137" s="46" t="s">
        <v>47</v>
      </c>
      <c r="J137" s="63">
        <v>600</v>
      </c>
      <c r="K137" s="78"/>
      <c r="L137" s="45">
        <f t="shared" si="1"/>
        <v>0</v>
      </c>
    </row>
    <row r="138" spans="4:14" x14ac:dyDescent="0.25">
      <c r="D138" s="46" t="s">
        <v>48</v>
      </c>
      <c r="E138" s="63">
        <v>777.6</v>
      </c>
      <c r="F138" s="78"/>
      <c r="G138" s="45">
        <f t="shared" si="0"/>
        <v>0</v>
      </c>
      <c r="I138" s="46" t="s">
        <v>48</v>
      </c>
      <c r="J138" s="63">
        <v>1495.4</v>
      </c>
      <c r="K138" s="78"/>
      <c r="L138" s="45">
        <f t="shared" si="1"/>
        <v>0</v>
      </c>
    </row>
    <row r="139" spans="4:14" ht="15.75" thickBot="1" x14ac:dyDescent="0.3">
      <c r="D139" s="46" t="s">
        <v>49</v>
      </c>
      <c r="E139" s="63">
        <v>1034.5</v>
      </c>
      <c r="F139" s="79"/>
      <c r="G139" s="80">
        <f t="shared" si="0"/>
        <v>0</v>
      </c>
      <c r="I139" s="46" t="s">
        <v>49</v>
      </c>
      <c r="J139" s="63">
        <v>1764.7</v>
      </c>
      <c r="K139" s="79"/>
      <c r="L139" s="80">
        <f t="shared" si="1"/>
        <v>0</v>
      </c>
    </row>
    <row r="140" spans="4:14" ht="15.75" thickBot="1" x14ac:dyDescent="0.3">
      <c r="D140" s="1"/>
      <c r="E140" s="1"/>
      <c r="F140" s="44" t="s">
        <v>176</v>
      </c>
      <c r="G140" s="81">
        <f>SUM(G132:G139)</f>
        <v>0</v>
      </c>
      <c r="I140" s="1"/>
      <c r="J140" s="1"/>
      <c r="K140" s="44" t="s">
        <v>176</v>
      </c>
      <c r="L140" s="81">
        <f>SUM(L132:L139)</f>
        <v>0</v>
      </c>
    </row>
  </sheetData>
  <mergeCells count="9">
    <mergeCell ref="J16:K16"/>
    <mergeCell ref="H5:J5"/>
    <mergeCell ref="D131:E131"/>
    <mergeCell ref="G10:O12"/>
    <mergeCell ref="I131:J131"/>
    <mergeCell ref="J27:O27"/>
    <mergeCell ref="J20:O20"/>
    <mergeCell ref="E130:G130"/>
    <mergeCell ref="J130:L1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E0CAA-DAB4-42FF-BDA2-E2A8FA7DB79F}">
  <dimension ref="A3:O28"/>
  <sheetViews>
    <sheetView workbookViewId="0">
      <selection activeCell="I10" sqref="I10"/>
    </sheetView>
  </sheetViews>
  <sheetFormatPr defaultColWidth="15.7109375" defaultRowHeight="15" x14ac:dyDescent="0.25"/>
  <cols>
    <col min="1" max="6" width="15.7109375" style="1"/>
    <col min="7" max="7" width="18.140625" style="1" bestFit="1" customWidth="1"/>
    <col min="8" max="10" width="15.7109375" style="1"/>
    <col min="11" max="11" width="19.7109375" style="1" bestFit="1" customWidth="1"/>
    <col min="12" max="16384" width="15.7109375" style="1"/>
  </cols>
  <sheetData>
    <row r="3" spans="1:15" x14ac:dyDescent="0.25">
      <c r="C3" s="1" t="s">
        <v>0</v>
      </c>
      <c r="D3" s="1" t="s">
        <v>2</v>
      </c>
      <c r="E3" s="1" t="s">
        <v>10</v>
      </c>
      <c r="F3" s="1" t="s">
        <v>12</v>
      </c>
      <c r="G3" s="1" t="s">
        <v>13</v>
      </c>
      <c r="H3" s="1" t="s">
        <v>23</v>
      </c>
      <c r="I3" s="1" t="s">
        <v>29</v>
      </c>
      <c r="J3" s="1" t="s">
        <v>65</v>
      </c>
      <c r="K3" s="1" t="s">
        <v>144</v>
      </c>
      <c r="L3" s="1" t="s">
        <v>88</v>
      </c>
      <c r="M3" s="1" t="s">
        <v>145</v>
      </c>
      <c r="N3" s="1" t="s">
        <v>104</v>
      </c>
      <c r="O3" s="1" t="s">
        <v>112</v>
      </c>
    </row>
    <row r="4" spans="1:15" x14ac:dyDescent="0.25">
      <c r="A4" s="1" t="s">
        <v>1</v>
      </c>
      <c r="C4" s="1">
        <v>15</v>
      </c>
      <c r="D4" s="1">
        <v>3.75</v>
      </c>
      <c r="E4" s="1">
        <v>3.75</v>
      </c>
      <c r="F4" s="1">
        <v>3.75</v>
      </c>
      <c r="G4" s="1">
        <v>3.75</v>
      </c>
      <c r="H4" s="1">
        <v>3.75</v>
      </c>
      <c r="I4" s="1">
        <v>1.875</v>
      </c>
      <c r="J4" s="1">
        <v>30</v>
      </c>
      <c r="K4" s="1">
        <v>15</v>
      </c>
      <c r="L4" s="1">
        <v>3.75</v>
      </c>
      <c r="M4" s="1">
        <v>45</v>
      </c>
      <c r="N4" s="1">
        <v>45</v>
      </c>
      <c r="O4" s="1">
        <v>90</v>
      </c>
    </row>
    <row r="6" spans="1:15" x14ac:dyDescent="0.25">
      <c r="D6" s="1" t="s">
        <v>5</v>
      </c>
      <c r="E6" s="1" t="s">
        <v>11</v>
      </c>
      <c r="F6" s="1" t="s">
        <v>15</v>
      </c>
      <c r="G6" s="1" t="s">
        <v>140</v>
      </c>
      <c r="H6" s="1" t="s">
        <v>12</v>
      </c>
      <c r="I6" s="1" t="s">
        <v>28</v>
      </c>
      <c r="J6" s="1" t="s">
        <v>64</v>
      </c>
      <c r="K6" s="1" t="s">
        <v>33</v>
      </c>
      <c r="L6" s="1" t="s">
        <v>91</v>
      </c>
      <c r="M6" s="1" t="s">
        <v>101</v>
      </c>
      <c r="N6" s="1" t="s">
        <v>109</v>
      </c>
      <c r="O6" s="1" t="s">
        <v>113</v>
      </c>
    </row>
    <row r="7" spans="1:15" x14ac:dyDescent="0.25">
      <c r="D7" s="1">
        <v>30</v>
      </c>
      <c r="E7" s="1">
        <v>30</v>
      </c>
      <c r="F7" s="1">
        <v>30</v>
      </c>
      <c r="G7" s="1">
        <v>30</v>
      </c>
      <c r="H7" s="1">
        <v>3.75</v>
      </c>
      <c r="I7" s="1">
        <v>60</v>
      </c>
      <c r="J7" s="1">
        <v>15</v>
      </c>
      <c r="K7" s="1">
        <v>7.5</v>
      </c>
      <c r="L7" s="1">
        <v>30</v>
      </c>
      <c r="M7" s="1">
        <v>30</v>
      </c>
      <c r="N7" s="1">
        <v>45</v>
      </c>
      <c r="O7" s="1">
        <v>90</v>
      </c>
    </row>
    <row r="9" spans="1:15" x14ac:dyDescent="0.25">
      <c r="E9" s="1" t="s">
        <v>22</v>
      </c>
      <c r="F9" s="1" t="s">
        <v>14</v>
      </c>
      <c r="H9" s="1" t="s">
        <v>24</v>
      </c>
      <c r="I9" s="1" t="s">
        <v>30</v>
      </c>
      <c r="K9" s="1" t="s">
        <v>135</v>
      </c>
      <c r="L9" s="1" t="s">
        <v>87</v>
      </c>
      <c r="M9" s="1" t="s">
        <v>98</v>
      </c>
      <c r="N9" s="1" t="s">
        <v>105</v>
      </c>
      <c r="O9" s="1" t="s">
        <v>114</v>
      </c>
    </row>
    <row r="10" spans="1:15" x14ac:dyDescent="0.25">
      <c r="E10" s="1">
        <v>45</v>
      </c>
      <c r="F10" s="1">
        <v>15</v>
      </c>
      <c r="H10" s="1">
        <v>30</v>
      </c>
      <c r="I10" s="1">
        <v>3.75</v>
      </c>
      <c r="K10" s="1">
        <v>7.5</v>
      </c>
      <c r="L10" s="1">
        <v>3.75</v>
      </c>
      <c r="M10" s="1">
        <v>1.875</v>
      </c>
      <c r="N10" s="1">
        <v>3.75</v>
      </c>
      <c r="O10" s="1">
        <v>30</v>
      </c>
    </row>
    <row r="12" spans="1:15" x14ac:dyDescent="0.25">
      <c r="E12" s="1" t="s">
        <v>21</v>
      </c>
      <c r="H12" s="1" t="s">
        <v>25</v>
      </c>
      <c r="K12" s="1" t="s">
        <v>93</v>
      </c>
      <c r="L12" s="1" t="s">
        <v>92</v>
      </c>
      <c r="M12" s="1" t="s">
        <v>103</v>
      </c>
      <c r="N12" s="1" t="s">
        <v>108</v>
      </c>
      <c r="O12" s="1" t="s">
        <v>115</v>
      </c>
    </row>
    <row r="13" spans="1:15" x14ac:dyDescent="0.25">
      <c r="E13" s="1">
        <v>15</v>
      </c>
      <c r="H13" s="1">
        <v>30</v>
      </c>
      <c r="K13" s="1">
        <v>15</v>
      </c>
      <c r="L13" s="1">
        <v>15</v>
      </c>
      <c r="M13" s="1">
        <v>7.5</v>
      </c>
      <c r="N13" s="1">
        <v>300</v>
      </c>
      <c r="O13" s="1">
        <v>15</v>
      </c>
    </row>
    <row r="15" spans="1:15" x14ac:dyDescent="0.25">
      <c r="E15" s="1" t="s">
        <v>50</v>
      </c>
      <c r="K15" s="1" t="s">
        <v>96</v>
      </c>
      <c r="M15" s="1" t="s">
        <v>100</v>
      </c>
      <c r="O15" s="1" t="s">
        <v>98</v>
      </c>
    </row>
    <row r="16" spans="1:15" x14ac:dyDescent="0.25">
      <c r="E16" s="1">
        <v>7.5</v>
      </c>
      <c r="K16" s="1">
        <v>20</v>
      </c>
      <c r="M16" s="1">
        <v>15</v>
      </c>
      <c r="O16" s="1">
        <v>1.875</v>
      </c>
    </row>
    <row r="18" spans="3:11" x14ac:dyDescent="0.25">
      <c r="K18" s="1" t="s">
        <v>134</v>
      </c>
    </row>
    <row r="19" spans="3:11" x14ac:dyDescent="0.25">
      <c r="K19" s="1">
        <v>15</v>
      </c>
    </row>
    <row r="20" spans="3:11" x14ac:dyDescent="0.25">
      <c r="C20" s="1" t="s">
        <v>117</v>
      </c>
      <c r="E20" s="1" t="s">
        <v>131</v>
      </c>
    </row>
    <row r="21" spans="3:11" x14ac:dyDescent="0.25">
      <c r="C21" s="1">
        <v>0.5</v>
      </c>
      <c r="E21" s="1">
        <v>7.5</v>
      </c>
      <c r="K21" s="1" t="s">
        <v>136</v>
      </c>
    </row>
    <row r="22" spans="3:11" x14ac:dyDescent="0.25">
      <c r="K22" s="1">
        <v>7.5</v>
      </c>
    </row>
    <row r="23" spans="3:11" x14ac:dyDescent="0.25">
      <c r="E23" s="1" t="s">
        <v>122</v>
      </c>
    </row>
    <row r="24" spans="3:11" x14ac:dyDescent="0.25">
      <c r="E24" s="1">
        <v>30</v>
      </c>
    </row>
    <row r="27" spans="3:11" x14ac:dyDescent="0.25">
      <c r="C27" s="1" t="s">
        <v>139</v>
      </c>
      <c r="E27" s="1" t="s">
        <v>148</v>
      </c>
    </row>
    <row r="28" spans="3:11" x14ac:dyDescent="0.25">
      <c r="C28" s="1">
        <v>37.5</v>
      </c>
      <c r="E28" s="1">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D9CE1-68F4-48C9-95A1-5417858AC33C}">
  <dimension ref="B2:N35"/>
  <sheetViews>
    <sheetView workbookViewId="0">
      <selection activeCell="G5" sqref="G5"/>
    </sheetView>
  </sheetViews>
  <sheetFormatPr defaultRowHeight="15" x14ac:dyDescent="0.25"/>
  <cols>
    <col min="2" max="12" width="15.7109375" customWidth="1"/>
    <col min="14" max="14" width="67.42578125" customWidth="1"/>
  </cols>
  <sheetData>
    <row r="2" spans="2:14" x14ac:dyDescent="0.25">
      <c r="B2" s="173" t="s">
        <v>300</v>
      </c>
      <c r="C2" s="173"/>
      <c r="D2" s="173"/>
      <c r="E2" s="173"/>
      <c r="F2" s="173"/>
      <c r="G2" s="173"/>
      <c r="H2" s="173"/>
      <c r="I2" s="173"/>
      <c r="J2" s="173"/>
      <c r="K2" s="173"/>
      <c r="L2" s="173"/>
    </row>
    <row r="4" spans="2:14" ht="45" x14ac:dyDescent="0.25">
      <c r="B4" s="103" t="s">
        <v>280</v>
      </c>
      <c r="C4" s="103" t="s">
        <v>281</v>
      </c>
      <c r="D4" s="103" t="s">
        <v>282</v>
      </c>
      <c r="E4" s="103" t="s">
        <v>283</v>
      </c>
      <c r="F4" s="103" t="s">
        <v>284</v>
      </c>
      <c r="G4" s="103"/>
      <c r="H4" s="104" t="s">
        <v>285</v>
      </c>
      <c r="I4" s="104" t="s">
        <v>286</v>
      </c>
      <c r="J4" s="104" t="s">
        <v>287</v>
      </c>
      <c r="K4" s="104" t="s">
        <v>288</v>
      </c>
      <c r="L4" s="104" t="s">
        <v>289</v>
      </c>
      <c r="N4" s="100" t="s">
        <v>290</v>
      </c>
    </row>
    <row r="5" spans="2:14" ht="23.25" x14ac:dyDescent="0.25">
      <c r="B5" s="105">
        <v>12</v>
      </c>
      <c r="C5" s="106">
        <f>ROUNDUP(((B5-2)^2)-(4*(B5-3)*50%)-(4*(B5-4)*25%),0)</f>
        <v>74</v>
      </c>
      <c r="D5" s="106">
        <f>ROUNDUP((((B5-1)*4*25%)*2)+((B5-1)*4),0)</f>
        <v>66</v>
      </c>
      <c r="E5" s="106">
        <f>ROUNDUP(C5*10%,0)</f>
        <v>8</v>
      </c>
      <c r="F5" s="106">
        <f>2^((B5/2)-6)</f>
        <v>1</v>
      </c>
      <c r="H5" s="107">
        <v>6</v>
      </c>
      <c r="I5" s="108">
        <v>3</v>
      </c>
      <c r="J5" s="109">
        <f>LOG(I5+1,2)</f>
        <v>2</v>
      </c>
      <c r="K5" s="109">
        <f>IFERROR(MAX(0,I6-I5),0)</f>
        <v>4</v>
      </c>
      <c r="L5" s="109">
        <f>IFERROR(INDEX(IslandSize[Island size (e.g. 12)],MATCH(K5,IslandSize[Favor on conquest and handover],0)),"-")</f>
        <v>16</v>
      </c>
      <c r="N5" s="174" t="s">
        <v>291</v>
      </c>
    </row>
    <row r="6" spans="2:14" ht="23.25" x14ac:dyDescent="0.25">
      <c r="B6" s="110">
        <f>B5+2</f>
        <v>14</v>
      </c>
      <c r="C6" s="106">
        <f t="shared" ref="C6:C29" si="0">ROUNDUP(((B6-2)^2)-(4*(B6-3)*50%)-(4*(B6-4)*25%),0)</f>
        <v>112</v>
      </c>
      <c r="D6" s="106">
        <f t="shared" ref="D6:D29" si="1">ROUNDUP((((B6-1)*4*25%)*2)+((B6-1)*4),0)</f>
        <v>78</v>
      </c>
      <c r="E6" s="106">
        <f t="shared" ref="E6:E29" si="2">ROUNDUP(C6*10%,0)</f>
        <v>12</v>
      </c>
      <c r="F6" s="106">
        <f t="shared" ref="F6:F12" si="3">2^((B6/2)-6)</f>
        <v>2</v>
      </c>
      <c r="H6" s="111">
        <f>H5+1</f>
        <v>7</v>
      </c>
      <c r="I6" s="109">
        <f>2^(J5+1)-1</f>
        <v>7</v>
      </c>
      <c r="J6" s="109">
        <f>LOG(I6+1,2)</f>
        <v>3</v>
      </c>
      <c r="K6" s="109">
        <f t="shared" ref="K6:K35" si="4">IFERROR(MAX(0,I7-I6),0)</f>
        <v>8</v>
      </c>
      <c r="L6" s="109">
        <f>IFERROR(INDEX(IslandSize[Island size (e.g. 12)],MATCH(K6,IslandSize[Favor on conquest and handover],0)),"-")</f>
        <v>18</v>
      </c>
      <c r="N6" s="174"/>
    </row>
    <row r="7" spans="2:14" ht="23.25" x14ac:dyDescent="0.25">
      <c r="B7" s="110">
        <f t="shared" ref="B7:B29" si="5">B6+2</f>
        <v>16</v>
      </c>
      <c r="C7" s="106">
        <f t="shared" si="0"/>
        <v>158</v>
      </c>
      <c r="D7" s="106">
        <f t="shared" si="1"/>
        <v>90</v>
      </c>
      <c r="E7" s="106">
        <f t="shared" si="2"/>
        <v>16</v>
      </c>
      <c r="F7" s="106">
        <f t="shared" si="3"/>
        <v>4</v>
      </c>
      <c r="H7" s="111">
        <f t="shared" ref="H7:H35" si="6">H6+1</f>
        <v>8</v>
      </c>
      <c r="I7" s="109">
        <f t="shared" ref="I7:I35" si="7">2^(J6+1)-1</f>
        <v>15</v>
      </c>
      <c r="J7" s="109">
        <f t="shared" ref="J7:J35" si="8">LOG(I7+1,2)</f>
        <v>4</v>
      </c>
      <c r="K7" s="109">
        <f t="shared" si="4"/>
        <v>16</v>
      </c>
      <c r="L7" s="109">
        <f>IFERROR(INDEX(IslandSize[Island size (e.g. 12)],MATCH(K7,IslandSize[Favor on conquest and handover],0)),"-")</f>
        <v>20</v>
      </c>
      <c r="N7" s="174"/>
    </row>
    <row r="8" spans="2:14" ht="23.25" x14ac:dyDescent="0.25">
      <c r="B8" s="110">
        <f t="shared" si="5"/>
        <v>18</v>
      </c>
      <c r="C8" s="106">
        <f t="shared" si="0"/>
        <v>212</v>
      </c>
      <c r="D8" s="106">
        <f t="shared" si="1"/>
        <v>102</v>
      </c>
      <c r="E8" s="106">
        <f t="shared" si="2"/>
        <v>22</v>
      </c>
      <c r="F8" s="106">
        <f t="shared" si="3"/>
        <v>8</v>
      </c>
      <c r="H8" s="111">
        <f t="shared" si="6"/>
        <v>9</v>
      </c>
      <c r="I8" s="109">
        <f t="shared" si="7"/>
        <v>31</v>
      </c>
      <c r="J8" s="109">
        <f t="shared" si="8"/>
        <v>5</v>
      </c>
      <c r="K8" s="109">
        <f t="shared" si="4"/>
        <v>32</v>
      </c>
      <c r="L8" s="109">
        <f>IFERROR(INDEX(IslandSize[Island size (e.g. 12)],MATCH(K8,IslandSize[Favor on conquest and handover],0)),"-")</f>
        <v>22</v>
      </c>
    </row>
    <row r="9" spans="2:14" ht="23.25" x14ac:dyDescent="0.25">
      <c r="B9" s="110">
        <f t="shared" si="5"/>
        <v>20</v>
      </c>
      <c r="C9" s="106">
        <f t="shared" si="0"/>
        <v>274</v>
      </c>
      <c r="D9" s="106">
        <f t="shared" si="1"/>
        <v>114</v>
      </c>
      <c r="E9" s="106">
        <f t="shared" si="2"/>
        <v>28</v>
      </c>
      <c r="F9" s="106">
        <f t="shared" si="3"/>
        <v>16</v>
      </c>
      <c r="H9" s="111">
        <f t="shared" si="6"/>
        <v>10</v>
      </c>
      <c r="I9" s="109">
        <f t="shared" si="7"/>
        <v>63</v>
      </c>
      <c r="J9" s="109">
        <f t="shared" si="8"/>
        <v>6</v>
      </c>
      <c r="K9" s="109">
        <f t="shared" si="4"/>
        <v>64</v>
      </c>
      <c r="L9" s="109">
        <f>IFERROR(INDEX(IslandSize[Island size (e.g. 12)],MATCH(K9,IslandSize[Favor on conquest and handover],0)),"-")</f>
        <v>24</v>
      </c>
    </row>
    <row r="10" spans="2:14" ht="23.25" x14ac:dyDescent="0.25">
      <c r="B10" s="110">
        <f t="shared" si="5"/>
        <v>22</v>
      </c>
      <c r="C10" s="106">
        <f t="shared" si="0"/>
        <v>344</v>
      </c>
      <c r="D10" s="106">
        <f t="shared" si="1"/>
        <v>126</v>
      </c>
      <c r="E10" s="106">
        <f t="shared" si="2"/>
        <v>35</v>
      </c>
      <c r="F10" s="106">
        <f t="shared" si="3"/>
        <v>32</v>
      </c>
      <c r="H10" s="111">
        <f t="shared" si="6"/>
        <v>11</v>
      </c>
      <c r="I10" s="109">
        <f t="shared" si="7"/>
        <v>127</v>
      </c>
      <c r="J10" s="109">
        <f t="shared" si="8"/>
        <v>7</v>
      </c>
      <c r="K10" s="109">
        <f t="shared" si="4"/>
        <v>128</v>
      </c>
      <c r="L10" s="109">
        <f>IFERROR(INDEX(IslandSize[Island size (e.g. 12)],MATCH(K10,IslandSize[Favor on conquest and handover],0)),"-")</f>
        <v>26</v>
      </c>
    </row>
    <row r="11" spans="2:14" ht="23.25" x14ac:dyDescent="0.25">
      <c r="B11" s="110">
        <f t="shared" si="5"/>
        <v>24</v>
      </c>
      <c r="C11" s="106">
        <f t="shared" si="0"/>
        <v>422</v>
      </c>
      <c r="D11" s="106">
        <f t="shared" si="1"/>
        <v>138</v>
      </c>
      <c r="E11" s="106">
        <f t="shared" si="2"/>
        <v>43</v>
      </c>
      <c r="F11" s="106">
        <f t="shared" si="3"/>
        <v>64</v>
      </c>
      <c r="H11" s="111">
        <f t="shared" si="6"/>
        <v>12</v>
      </c>
      <c r="I11" s="109">
        <f t="shared" si="7"/>
        <v>255</v>
      </c>
      <c r="J11" s="109">
        <f t="shared" si="8"/>
        <v>8</v>
      </c>
      <c r="K11" s="109">
        <f t="shared" si="4"/>
        <v>256</v>
      </c>
      <c r="L11" s="109">
        <f>IFERROR(INDEX(IslandSize[Island size (e.g. 12)],MATCH(K11,IslandSize[Favor on conquest and handover],0)),"-")</f>
        <v>34</v>
      </c>
    </row>
    <row r="12" spans="2:14" ht="23.25" x14ac:dyDescent="0.25">
      <c r="B12" s="110">
        <f t="shared" si="5"/>
        <v>26</v>
      </c>
      <c r="C12" s="106">
        <f t="shared" si="0"/>
        <v>508</v>
      </c>
      <c r="D12" s="106">
        <f t="shared" si="1"/>
        <v>150</v>
      </c>
      <c r="E12" s="106">
        <f t="shared" si="2"/>
        <v>51</v>
      </c>
      <c r="F12" s="106">
        <f t="shared" si="3"/>
        <v>128</v>
      </c>
      <c r="H12" s="111">
        <f t="shared" si="6"/>
        <v>13</v>
      </c>
      <c r="I12" s="109">
        <f t="shared" si="7"/>
        <v>511</v>
      </c>
      <c r="J12" s="109">
        <f t="shared" si="8"/>
        <v>9</v>
      </c>
      <c r="K12" s="109">
        <f t="shared" si="4"/>
        <v>512</v>
      </c>
      <c r="L12" s="109">
        <f>IFERROR(INDEX(IslandSize[Island size (e.g. 12)],MATCH(K12,IslandSize[Favor on conquest and handover],0)),"-")</f>
        <v>50</v>
      </c>
    </row>
    <row r="13" spans="2:14" ht="23.25" x14ac:dyDescent="0.25">
      <c r="B13" s="110">
        <f t="shared" si="5"/>
        <v>28</v>
      </c>
      <c r="C13" s="106">
        <f t="shared" si="0"/>
        <v>602</v>
      </c>
      <c r="D13" s="106">
        <f t="shared" si="1"/>
        <v>162</v>
      </c>
      <c r="E13" s="106">
        <f t="shared" si="2"/>
        <v>61</v>
      </c>
      <c r="F13" s="106">
        <f>F12+32</f>
        <v>160</v>
      </c>
      <c r="H13" s="111">
        <f t="shared" si="6"/>
        <v>14</v>
      </c>
      <c r="I13" s="109">
        <f t="shared" si="7"/>
        <v>1023</v>
      </c>
      <c r="J13" s="109">
        <f t="shared" si="8"/>
        <v>10</v>
      </c>
      <c r="K13" s="109">
        <f t="shared" si="4"/>
        <v>1024</v>
      </c>
      <c r="L13" s="109" t="str">
        <f>IFERROR(INDEX(IslandSize[Island size (e.g. 12)],MATCH(K13,IslandSize[Favor on conquest and handover],0)),"-")</f>
        <v>-</v>
      </c>
    </row>
    <row r="14" spans="2:14" ht="23.25" x14ac:dyDescent="0.25">
      <c r="B14" s="110">
        <f t="shared" si="5"/>
        <v>30</v>
      </c>
      <c r="C14" s="106">
        <f t="shared" si="0"/>
        <v>704</v>
      </c>
      <c r="D14" s="106">
        <f t="shared" si="1"/>
        <v>174</v>
      </c>
      <c r="E14" s="106">
        <f t="shared" si="2"/>
        <v>71</v>
      </c>
      <c r="F14" s="106">
        <f t="shared" ref="F14:F29" si="9">F13+32</f>
        <v>192</v>
      </c>
      <c r="H14" s="111">
        <f t="shared" si="6"/>
        <v>15</v>
      </c>
      <c r="I14" s="109">
        <f t="shared" si="7"/>
        <v>2047</v>
      </c>
      <c r="J14" s="109">
        <f t="shared" si="8"/>
        <v>11</v>
      </c>
      <c r="K14" s="109">
        <f t="shared" si="4"/>
        <v>2048</v>
      </c>
      <c r="L14" s="109" t="str">
        <f>IFERROR(INDEX(IslandSize[Island size (e.g. 12)],MATCH(K14,IslandSize[Favor on conquest and handover],0)),"-")</f>
        <v>-</v>
      </c>
    </row>
    <row r="15" spans="2:14" ht="23.25" x14ac:dyDescent="0.25">
      <c r="B15" s="110">
        <f t="shared" si="5"/>
        <v>32</v>
      </c>
      <c r="C15" s="106">
        <f t="shared" si="0"/>
        <v>814</v>
      </c>
      <c r="D15" s="106">
        <f t="shared" si="1"/>
        <v>186</v>
      </c>
      <c r="E15" s="106">
        <f t="shared" si="2"/>
        <v>82</v>
      </c>
      <c r="F15" s="106">
        <f t="shared" si="9"/>
        <v>224</v>
      </c>
      <c r="H15" s="111">
        <f t="shared" si="6"/>
        <v>16</v>
      </c>
      <c r="I15" s="109">
        <f t="shared" si="7"/>
        <v>4095</v>
      </c>
      <c r="J15" s="109">
        <f t="shared" si="8"/>
        <v>12</v>
      </c>
      <c r="K15" s="109">
        <f t="shared" si="4"/>
        <v>4096</v>
      </c>
      <c r="L15" s="109" t="str">
        <f>IFERROR(INDEX(IslandSize[Island size (e.g. 12)],MATCH(K15,IslandSize[Favor on conquest and handover],0)),"-")</f>
        <v>-</v>
      </c>
    </row>
    <row r="16" spans="2:14" ht="23.25" x14ac:dyDescent="0.25">
      <c r="B16" s="110">
        <f t="shared" si="5"/>
        <v>34</v>
      </c>
      <c r="C16" s="106">
        <f t="shared" si="0"/>
        <v>932</v>
      </c>
      <c r="D16" s="106">
        <f t="shared" si="1"/>
        <v>198</v>
      </c>
      <c r="E16" s="106">
        <f t="shared" si="2"/>
        <v>94</v>
      </c>
      <c r="F16" s="106">
        <f t="shared" si="9"/>
        <v>256</v>
      </c>
      <c r="H16" s="111">
        <f t="shared" si="6"/>
        <v>17</v>
      </c>
      <c r="I16" s="109">
        <f t="shared" si="7"/>
        <v>8191</v>
      </c>
      <c r="J16" s="109">
        <f t="shared" si="8"/>
        <v>13</v>
      </c>
      <c r="K16" s="109">
        <f t="shared" si="4"/>
        <v>8192</v>
      </c>
      <c r="L16" s="109" t="str">
        <f>IFERROR(INDEX(IslandSize[Island size (e.g. 12)],MATCH(K16,IslandSize[Favor on conquest and handover],0)),"-")</f>
        <v>-</v>
      </c>
    </row>
    <row r="17" spans="2:12" ht="23.25" x14ac:dyDescent="0.25">
      <c r="B17" s="110">
        <f t="shared" si="5"/>
        <v>36</v>
      </c>
      <c r="C17" s="106">
        <f t="shared" si="0"/>
        <v>1058</v>
      </c>
      <c r="D17" s="106">
        <f t="shared" si="1"/>
        <v>210</v>
      </c>
      <c r="E17" s="106">
        <f t="shared" si="2"/>
        <v>106</v>
      </c>
      <c r="F17" s="106">
        <f t="shared" si="9"/>
        <v>288</v>
      </c>
      <c r="H17" s="111">
        <f t="shared" si="6"/>
        <v>18</v>
      </c>
      <c r="I17" s="109">
        <f t="shared" si="7"/>
        <v>16383</v>
      </c>
      <c r="J17" s="109">
        <f t="shared" si="8"/>
        <v>14</v>
      </c>
      <c r="K17" s="109">
        <f t="shared" si="4"/>
        <v>16384</v>
      </c>
      <c r="L17" s="109" t="str">
        <f>IFERROR(INDEX(IslandSize[Island size (e.g. 12)],MATCH(K17,IslandSize[Favor on conquest and handover],0)),"-")</f>
        <v>-</v>
      </c>
    </row>
    <row r="18" spans="2:12" ht="23.25" x14ac:dyDescent="0.25">
      <c r="B18" s="110">
        <f t="shared" si="5"/>
        <v>38</v>
      </c>
      <c r="C18" s="106">
        <f t="shared" si="0"/>
        <v>1192</v>
      </c>
      <c r="D18" s="106">
        <f t="shared" si="1"/>
        <v>222</v>
      </c>
      <c r="E18" s="106">
        <f t="shared" si="2"/>
        <v>120</v>
      </c>
      <c r="F18" s="106">
        <f t="shared" si="9"/>
        <v>320</v>
      </c>
      <c r="H18" s="111">
        <f t="shared" si="6"/>
        <v>19</v>
      </c>
      <c r="I18" s="109">
        <f t="shared" si="7"/>
        <v>32767</v>
      </c>
      <c r="J18" s="109">
        <f t="shared" si="8"/>
        <v>15</v>
      </c>
      <c r="K18" s="109">
        <f t="shared" si="4"/>
        <v>32768</v>
      </c>
      <c r="L18" s="109" t="str">
        <f>IFERROR(INDEX(IslandSize[Island size (e.g. 12)],MATCH(K18,IslandSize[Favor on conquest and handover],0)),"-")</f>
        <v>-</v>
      </c>
    </row>
    <row r="19" spans="2:12" ht="23.25" x14ac:dyDescent="0.25">
      <c r="B19" s="112">
        <f t="shared" si="5"/>
        <v>40</v>
      </c>
      <c r="C19" s="106">
        <f t="shared" si="0"/>
        <v>1334</v>
      </c>
      <c r="D19" s="106">
        <f t="shared" si="1"/>
        <v>234</v>
      </c>
      <c r="E19" s="106">
        <f t="shared" si="2"/>
        <v>134</v>
      </c>
      <c r="F19" s="106">
        <f t="shared" si="9"/>
        <v>352</v>
      </c>
      <c r="H19" s="111">
        <f t="shared" si="6"/>
        <v>20</v>
      </c>
      <c r="I19" s="109">
        <f t="shared" si="7"/>
        <v>65535</v>
      </c>
      <c r="J19" s="109">
        <f t="shared" si="8"/>
        <v>16</v>
      </c>
      <c r="K19" s="109">
        <f t="shared" si="4"/>
        <v>65536</v>
      </c>
      <c r="L19" s="109" t="str">
        <f>IFERROR(INDEX(IslandSize[Island size (e.g. 12)],MATCH(K19,IslandSize[Favor on conquest and handover],0)),"-")</f>
        <v>-</v>
      </c>
    </row>
    <row r="20" spans="2:12" ht="23.25" x14ac:dyDescent="0.25">
      <c r="B20" s="110">
        <f t="shared" si="5"/>
        <v>42</v>
      </c>
      <c r="C20" s="106">
        <f t="shared" si="0"/>
        <v>1484</v>
      </c>
      <c r="D20" s="106">
        <f t="shared" si="1"/>
        <v>246</v>
      </c>
      <c r="E20" s="106">
        <f t="shared" si="2"/>
        <v>149</v>
      </c>
      <c r="F20" s="106">
        <f t="shared" si="9"/>
        <v>384</v>
      </c>
      <c r="H20" s="111">
        <f t="shared" si="6"/>
        <v>21</v>
      </c>
      <c r="I20" s="109">
        <f t="shared" si="7"/>
        <v>131071</v>
      </c>
      <c r="J20" s="109">
        <f t="shared" si="8"/>
        <v>17</v>
      </c>
      <c r="K20" s="109">
        <f t="shared" si="4"/>
        <v>131072</v>
      </c>
      <c r="L20" s="109" t="str">
        <f>IFERROR(INDEX(IslandSize[Island size (e.g. 12)],MATCH(K20,IslandSize[Favor on conquest and handover],0)),"-")</f>
        <v>-</v>
      </c>
    </row>
    <row r="21" spans="2:12" ht="23.25" x14ac:dyDescent="0.25">
      <c r="B21" s="112">
        <f t="shared" si="5"/>
        <v>44</v>
      </c>
      <c r="C21" s="106">
        <f t="shared" si="0"/>
        <v>1642</v>
      </c>
      <c r="D21" s="106">
        <f t="shared" si="1"/>
        <v>258</v>
      </c>
      <c r="E21" s="106">
        <f t="shared" si="2"/>
        <v>165</v>
      </c>
      <c r="F21" s="106">
        <f t="shared" si="9"/>
        <v>416</v>
      </c>
      <c r="H21" s="111">
        <f t="shared" si="6"/>
        <v>22</v>
      </c>
      <c r="I21" s="109">
        <f t="shared" si="7"/>
        <v>262143</v>
      </c>
      <c r="J21" s="109">
        <f t="shared" si="8"/>
        <v>18</v>
      </c>
      <c r="K21" s="109">
        <f t="shared" si="4"/>
        <v>262144</v>
      </c>
      <c r="L21" s="109" t="str">
        <f>IFERROR(INDEX(IslandSize[Island size (e.g. 12)],MATCH(K21,IslandSize[Favor on conquest and handover],0)),"-")</f>
        <v>-</v>
      </c>
    </row>
    <row r="22" spans="2:12" ht="23.25" x14ac:dyDescent="0.25">
      <c r="B22" s="112">
        <f t="shared" si="5"/>
        <v>46</v>
      </c>
      <c r="C22" s="106">
        <f t="shared" si="0"/>
        <v>1808</v>
      </c>
      <c r="D22" s="106">
        <f t="shared" si="1"/>
        <v>270</v>
      </c>
      <c r="E22" s="106">
        <f t="shared" si="2"/>
        <v>181</v>
      </c>
      <c r="F22" s="106">
        <f t="shared" si="9"/>
        <v>448</v>
      </c>
      <c r="H22" s="111">
        <f t="shared" si="6"/>
        <v>23</v>
      </c>
      <c r="I22" s="109">
        <f t="shared" si="7"/>
        <v>524287</v>
      </c>
      <c r="J22" s="109">
        <f t="shared" si="8"/>
        <v>19</v>
      </c>
      <c r="K22" s="109">
        <f t="shared" si="4"/>
        <v>524288</v>
      </c>
      <c r="L22" s="109" t="str">
        <f>IFERROR(INDEX(IslandSize[Island size (e.g. 12)],MATCH(K22,IslandSize[Favor on conquest and handover],0)),"-")</f>
        <v>-</v>
      </c>
    </row>
    <row r="23" spans="2:12" ht="23.25" x14ac:dyDescent="0.25">
      <c r="B23" s="112">
        <f t="shared" si="5"/>
        <v>48</v>
      </c>
      <c r="C23" s="106">
        <f t="shared" si="0"/>
        <v>1982</v>
      </c>
      <c r="D23" s="106">
        <f t="shared" si="1"/>
        <v>282</v>
      </c>
      <c r="E23" s="106">
        <f t="shared" si="2"/>
        <v>199</v>
      </c>
      <c r="F23" s="106">
        <f t="shared" si="9"/>
        <v>480</v>
      </c>
      <c r="H23" s="111">
        <f t="shared" si="6"/>
        <v>24</v>
      </c>
      <c r="I23" s="109">
        <f t="shared" si="7"/>
        <v>1048575</v>
      </c>
      <c r="J23" s="109">
        <f t="shared" si="8"/>
        <v>20</v>
      </c>
      <c r="K23" s="109">
        <f t="shared" si="4"/>
        <v>1048576</v>
      </c>
      <c r="L23" s="109" t="str">
        <f>IFERROR(INDEX(IslandSize[Island size (e.g. 12)],MATCH(K23,IslandSize[Favor on conquest and handover],0)),"-")</f>
        <v>-</v>
      </c>
    </row>
    <row r="24" spans="2:12" ht="23.25" x14ac:dyDescent="0.25">
      <c r="B24" s="112">
        <f t="shared" si="5"/>
        <v>50</v>
      </c>
      <c r="C24" s="106">
        <f t="shared" si="0"/>
        <v>2164</v>
      </c>
      <c r="D24" s="106">
        <f t="shared" si="1"/>
        <v>294</v>
      </c>
      <c r="E24" s="106">
        <f t="shared" si="2"/>
        <v>217</v>
      </c>
      <c r="F24" s="106">
        <f t="shared" si="9"/>
        <v>512</v>
      </c>
      <c r="H24" s="111">
        <f t="shared" si="6"/>
        <v>25</v>
      </c>
      <c r="I24" s="109">
        <f t="shared" si="7"/>
        <v>2097151</v>
      </c>
      <c r="J24" s="109">
        <f t="shared" si="8"/>
        <v>21</v>
      </c>
      <c r="K24" s="109">
        <f t="shared" si="4"/>
        <v>2097152</v>
      </c>
      <c r="L24" s="109" t="str">
        <f>IFERROR(INDEX(IslandSize[Island size (e.g. 12)],MATCH(K24,IslandSize[Favor on conquest and handover],0)),"-")</f>
        <v>-</v>
      </c>
    </row>
    <row r="25" spans="2:12" ht="23.25" x14ac:dyDescent="0.25">
      <c r="B25" s="112">
        <f t="shared" si="5"/>
        <v>52</v>
      </c>
      <c r="C25" s="106">
        <f t="shared" si="0"/>
        <v>2354</v>
      </c>
      <c r="D25" s="106">
        <f t="shared" si="1"/>
        <v>306</v>
      </c>
      <c r="E25" s="106">
        <f t="shared" si="2"/>
        <v>236</v>
      </c>
      <c r="F25" s="106">
        <f t="shared" si="9"/>
        <v>544</v>
      </c>
      <c r="H25" s="111">
        <f t="shared" si="6"/>
        <v>26</v>
      </c>
      <c r="I25" s="109">
        <f t="shared" si="7"/>
        <v>4194303</v>
      </c>
      <c r="J25" s="109">
        <f t="shared" si="8"/>
        <v>22</v>
      </c>
      <c r="K25" s="109">
        <f t="shared" si="4"/>
        <v>4194304</v>
      </c>
      <c r="L25" s="109" t="str">
        <f>IFERROR(INDEX(IslandSize[Island size (e.g. 12)],MATCH(K25,IslandSize[Favor on conquest and handover],0)),"-")</f>
        <v>-</v>
      </c>
    </row>
    <row r="26" spans="2:12" ht="23.25" x14ac:dyDescent="0.25">
      <c r="B26" s="112">
        <f t="shared" si="5"/>
        <v>54</v>
      </c>
      <c r="C26" s="106">
        <f t="shared" si="0"/>
        <v>2552</v>
      </c>
      <c r="D26" s="106">
        <f t="shared" si="1"/>
        <v>318</v>
      </c>
      <c r="E26" s="106">
        <f t="shared" si="2"/>
        <v>256</v>
      </c>
      <c r="F26" s="106">
        <f t="shared" si="9"/>
        <v>576</v>
      </c>
      <c r="H26" s="111">
        <f t="shared" si="6"/>
        <v>27</v>
      </c>
      <c r="I26" s="109">
        <f t="shared" si="7"/>
        <v>8388607</v>
      </c>
      <c r="J26" s="109">
        <f t="shared" si="8"/>
        <v>23</v>
      </c>
      <c r="K26" s="109">
        <f t="shared" si="4"/>
        <v>8388608</v>
      </c>
      <c r="L26" s="109" t="str">
        <f>IFERROR(INDEX(IslandSize[Island size (e.g. 12)],MATCH(K26,IslandSize[Favor on conquest and handover],0)),"-")</f>
        <v>-</v>
      </c>
    </row>
    <row r="27" spans="2:12" ht="23.25" x14ac:dyDescent="0.25">
      <c r="B27" s="112">
        <f t="shared" si="5"/>
        <v>56</v>
      </c>
      <c r="C27" s="106">
        <f t="shared" si="0"/>
        <v>2758</v>
      </c>
      <c r="D27" s="106">
        <f t="shared" si="1"/>
        <v>330</v>
      </c>
      <c r="E27" s="106">
        <f t="shared" si="2"/>
        <v>276</v>
      </c>
      <c r="F27" s="106">
        <f t="shared" si="9"/>
        <v>608</v>
      </c>
      <c r="H27" s="111">
        <f t="shared" si="6"/>
        <v>28</v>
      </c>
      <c r="I27" s="109">
        <f t="shared" si="7"/>
        <v>16777215</v>
      </c>
      <c r="J27" s="109">
        <f t="shared" si="8"/>
        <v>24</v>
      </c>
      <c r="K27" s="109">
        <f t="shared" si="4"/>
        <v>16777216</v>
      </c>
      <c r="L27" s="109" t="str">
        <f>IFERROR(INDEX(IslandSize[Island size (e.g. 12)],MATCH(K27,IslandSize[Favor on conquest and handover],0)),"-")</f>
        <v>-</v>
      </c>
    </row>
    <row r="28" spans="2:12" ht="23.25" x14ac:dyDescent="0.25">
      <c r="B28" s="112">
        <f t="shared" si="5"/>
        <v>58</v>
      </c>
      <c r="C28" s="106">
        <f t="shared" si="0"/>
        <v>2972</v>
      </c>
      <c r="D28" s="106">
        <f t="shared" si="1"/>
        <v>342</v>
      </c>
      <c r="E28" s="106">
        <f t="shared" si="2"/>
        <v>298</v>
      </c>
      <c r="F28" s="106">
        <f t="shared" si="9"/>
        <v>640</v>
      </c>
      <c r="H28" s="111">
        <f t="shared" si="6"/>
        <v>29</v>
      </c>
      <c r="I28" s="109">
        <f t="shared" si="7"/>
        <v>33554431</v>
      </c>
      <c r="J28" s="109">
        <f t="shared" si="8"/>
        <v>25</v>
      </c>
      <c r="K28" s="109">
        <f t="shared" si="4"/>
        <v>33554432</v>
      </c>
      <c r="L28" s="109" t="str">
        <f>IFERROR(INDEX(IslandSize[Island size (e.g. 12)],MATCH(K28,IslandSize[Favor on conquest and handover],0)),"-")</f>
        <v>-</v>
      </c>
    </row>
    <row r="29" spans="2:12" ht="23.25" x14ac:dyDescent="0.25">
      <c r="B29" s="112">
        <f t="shared" si="5"/>
        <v>60</v>
      </c>
      <c r="C29" s="106">
        <f t="shared" si="0"/>
        <v>3194</v>
      </c>
      <c r="D29" s="106">
        <f t="shared" si="1"/>
        <v>354</v>
      </c>
      <c r="E29" s="106">
        <f t="shared" si="2"/>
        <v>320</v>
      </c>
      <c r="F29" s="106">
        <f t="shared" si="9"/>
        <v>672</v>
      </c>
      <c r="H29" s="111">
        <f t="shared" si="6"/>
        <v>30</v>
      </c>
      <c r="I29" s="109">
        <f t="shared" si="7"/>
        <v>67108863</v>
      </c>
      <c r="J29" s="109">
        <f t="shared" si="8"/>
        <v>26</v>
      </c>
      <c r="K29" s="109">
        <f t="shared" si="4"/>
        <v>67108864</v>
      </c>
      <c r="L29" s="109" t="str">
        <f>IFERROR(INDEX(IslandSize[Island size (e.g. 12)],MATCH(K29,IslandSize[Favor on conquest and handover],0)),"-")</f>
        <v>-</v>
      </c>
    </row>
    <row r="30" spans="2:12" ht="18.75" x14ac:dyDescent="0.25">
      <c r="H30" s="111">
        <f t="shared" si="6"/>
        <v>31</v>
      </c>
      <c r="I30" s="109">
        <f t="shared" si="7"/>
        <v>134217727</v>
      </c>
      <c r="J30" s="109">
        <f t="shared" si="8"/>
        <v>27</v>
      </c>
      <c r="K30" s="109">
        <f t="shared" si="4"/>
        <v>134217728</v>
      </c>
      <c r="L30" s="109" t="str">
        <f>IFERROR(INDEX(IslandSize[Island size (e.g. 12)],MATCH(K30,IslandSize[Favor on conquest and handover],0)),"-")</f>
        <v>-</v>
      </c>
    </row>
    <row r="31" spans="2:12" ht="18.75" x14ac:dyDescent="0.25">
      <c r="H31" s="111">
        <f t="shared" si="6"/>
        <v>32</v>
      </c>
      <c r="I31" s="109">
        <f t="shared" si="7"/>
        <v>268435455</v>
      </c>
      <c r="J31" s="109">
        <f t="shared" si="8"/>
        <v>28</v>
      </c>
      <c r="K31" s="109">
        <f t="shared" si="4"/>
        <v>268435456</v>
      </c>
      <c r="L31" s="109" t="str">
        <f>IFERROR(INDEX(IslandSize[Island size (e.g. 12)],MATCH(K31,IslandSize[Favor on conquest and handover],0)),"-")</f>
        <v>-</v>
      </c>
    </row>
    <row r="32" spans="2:12" ht="18.75" x14ac:dyDescent="0.25">
      <c r="H32" s="111">
        <f t="shared" si="6"/>
        <v>33</v>
      </c>
      <c r="I32" s="109">
        <f t="shared" si="7"/>
        <v>536870911</v>
      </c>
      <c r="J32" s="109">
        <f t="shared" si="8"/>
        <v>29.000000000000004</v>
      </c>
      <c r="K32" s="109">
        <f t="shared" si="4"/>
        <v>536870912.00000286</v>
      </c>
      <c r="L32" s="109" t="str">
        <f>IFERROR(INDEX(IslandSize[Island size (e.g. 12)],MATCH(K32,IslandSize[Favor on conquest and handover],0)),"-")</f>
        <v>-</v>
      </c>
    </row>
    <row r="33" spans="8:12" ht="18.75" x14ac:dyDescent="0.25">
      <c r="H33" s="111">
        <f t="shared" si="6"/>
        <v>34</v>
      </c>
      <c r="I33" s="109">
        <f t="shared" si="7"/>
        <v>1073741823.0000029</v>
      </c>
      <c r="J33" s="109">
        <f t="shared" si="8"/>
        <v>30.000000000000004</v>
      </c>
      <c r="K33" s="109">
        <f t="shared" si="4"/>
        <v>1073741823.999999</v>
      </c>
      <c r="L33" s="109" t="str">
        <f>IFERROR(INDEX(IslandSize[Island size (e.g. 12)],MATCH(K33,IslandSize[Favor on conquest and handover],0)),"-")</f>
        <v>-</v>
      </c>
    </row>
    <row r="34" spans="8:12" ht="18.75" x14ac:dyDescent="0.25">
      <c r="H34" s="111">
        <f t="shared" si="6"/>
        <v>35</v>
      </c>
      <c r="I34" s="109">
        <f t="shared" si="7"/>
        <v>2147483647.0000019</v>
      </c>
      <c r="J34" s="109">
        <f t="shared" si="8"/>
        <v>31.000000000000004</v>
      </c>
      <c r="K34" s="109">
        <f t="shared" si="4"/>
        <v>2147483647.9999981</v>
      </c>
      <c r="L34" s="109" t="str">
        <f>IFERROR(INDEX(IslandSize[Island size (e.g. 12)],MATCH(K34,IslandSize[Favor on conquest and handover],0)),"-")</f>
        <v>-</v>
      </c>
    </row>
    <row r="35" spans="8:12" ht="18.75" x14ac:dyDescent="0.25">
      <c r="H35" s="113">
        <f t="shared" si="6"/>
        <v>36</v>
      </c>
      <c r="I35" s="114">
        <f t="shared" si="7"/>
        <v>4294967295</v>
      </c>
      <c r="J35" s="114">
        <f t="shared" si="8"/>
        <v>32</v>
      </c>
      <c r="K35" s="114">
        <f t="shared" si="4"/>
        <v>0</v>
      </c>
      <c r="L35" s="114" t="str">
        <f>IFERROR(INDEX(IslandSize[Island size (e.g. 12)],MATCH(K35,IslandSize[Favor on conquest and handover],0)),"-")</f>
        <v>-</v>
      </c>
    </row>
  </sheetData>
  <mergeCells count="2">
    <mergeCell ref="B2:L2"/>
    <mergeCell ref="N5:N7"/>
  </mergeCells>
  <pageMargins left="0.7" right="0.7" top="0.75" bottom="0.75" header="0.3" footer="0.3"/>
  <pageSetup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B0CB5-AF58-43BC-87B6-EAE395803B44}">
  <dimension ref="A2:M92"/>
  <sheetViews>
    <sheetView topLeftCell="A63" workbookViewId="0">
      <selection activeCell="L87" sqref="L87"/>
    </sheetView>
  </sheetViews>
  <sheetFormatPr defaultRowHeight="15" x14ac:dyDescent="0.25"/>
  <cols>
    <col min="1" max="2" width="9.140625" style="1"/>
    <col min="3" max="6" width="16.5703125" style="1" bestFit="1" customWidth="1"/>
    <col min="7" max="12" width="15.7109375" style="1" customWidth="1"/>
    <col min="13" max="13" width="154.42578125" style="1" bestFit="1" customWidth="1"/>
    <col min="14" max="16384" width="9.140625" style="1"/>
  </cols>
  <sheetData>
    <row r="2" spans="1:13" ht="18.75" x14ac:dyDescent="0.3">
      <c r="G2" s="176" t="s">
        <v>321</v>
      </c>
      <c r="H2" s="176"/>
      <c r="I2" s="176"/>
    </row>
    <row r="3" spans="1:13" x14ac:dyDescent="0.25">
      <c r="A3" s="178" t="s">
        <v>337</v>
      </c>
      <c r="B3" s="178"/>
      <c r="C3" s="178"/>
      <c r="D3" s="178"/>
      <c r="E3" s="178"/>
      <c r="F3" s="178"/>
      <c r="G3" s="178"/>
      <c r="H3" s="178"/>
      <c r="I3" s="178"/>
      <c r="J3" s="178"/>
      <c r="K3" s="178"/>
      <c r="L3" s="178"/>
      <c r="M3" s="178"/>
    </row>
    <row r="5" spans="1:13" x14ac:dyDescent="0.25">
      <c r="B5" s="181" t="s">
        <v>345</v>
      </c>
      <c r="C5" s="181"/>
      <c r="D5" s="181"/>
      <c r="E5" s="181"/>
      <c r="F5" s="181"/>
      <c r="G5" s="181"/>
      <c r="H5" s="181"/>
      <c r="I5" s="181"/>
      <c r="J5" s="181"/>
      <c r="K5" s="181"/>
      <c r="L5" s="181"/>
      <c r="M5" s="181"/>
    </row>
    <row r="6" spans="1:13" x14ac:dyDescent="0.25">
      <c r="B6" s="117"/>
      <c r="C6" s="117"/>
      <c r="D6" s="117"/>
      <c r="E6" s="117"/>
      <c r="F6" s="117"/>
      <c r="G6" s="117"/>
      <c r="H6" s="117"/>
      <c r="I6" s="117"/>
      <c r="J6" s="117"/>
      <c r="K6" s="117"/>
      <c r="L6" s="117"/>
      <c r="M6" s="117"/>
    </row>
    <row r="7" spans="1:13" x14ac:dyDescent="0.25">
      <c r="B7" s="180" t="s">
        <v>305</v>
      </c>
      <c r="C7" s="180"/>
      <c r="D7" s="180"/>
      <c r="E7" s="180"/>
      <c r="F7" s="180"/>
      <c r="G7" s="180"/>
      <c r="H7" s="180"/>
      <c r="I7" s="180"/>
    </row>
    <row r="8" spans="1:13" x14ac:dyDescent="0.25">
      <c r="B8" s="101"/>
      <c r="C8" s="101"/>
      <c r="D8" s="101"/>
      <c r="E8" s="101"/>
      <c r="F8" s="101"/>
      <c r="G8" s="101"/>
      <c r="H8" s="101"/>
      <c r="I8" s="101"/>
    </row>
    <row r="9" spans="1:13" x14ac:dyDescent="0.25">
      <c r="B9" s="102" t="s">
        <v>190</v>
      </c>
      <c r="C9" s="102" t="s">
        <v>191</v>
      </c>
      <c r="D9" s="102" t="s">
        <v>192</v>
      </c>
      <c r="E9" s="102" t="s">
        <v>229</v>
      </c>
      <c r="F9" s="102" t="s">
        <v>233</v>
      </c>
      <c r="H9" s="102" t="s">
        <v>249</v>
      </c>
      <c r="M9" s="119" t="s">
        <v>252</v>
      </c>
    </row>
    <row r="10" spans="1:13" x14ac:dyDescent="0.25">
      <c r="B10" s="1" t="s">
        <v>248</v>
      </c>
      <c r="M10" s="1" t="s">
        <v>253</v>
      </c>
    </row>
    <row r="11" spans="1:13" x14ac:dyDescent="0.25">
      <c r="B11" s="1">
        <v>18</v>
      </c>
      <c r="C11" s="116" t="s">
        <v>238</v>
      </c>
      <c r="H11" s="1" t="s">
        <v>193</v>
      </c>
      <c r="I11" s="1" t="s">
        <v>387</v>
      </c>
      <c r="M11" s="1" t="s">
        <v>256</v>
      </c>
    </row>
    <row r="12" spans="1:13" x14ac:dyDescent="0.25">
      <c r="B12" s="1">
        <v>22</v>
      </c>
      <c r="C12" s="1" t="s">
        <v>115</v>
      </c>
      <c r="D12" s="116" t="s">
        <v>13</v>
      </c>
      <c r="E12" s="115" t="s">
        <v>226</v>
      </c>
      <c r="H12" s="1" t="s">
        <v>0</v>
      </c>
      <c r="I12" s="1" t="s">
        <v>9</v>
      </c>
      <c r="M12" s="1" t="s">
        <v>257</v>
      </c>
    </row>
    <row r="13" spans="1:13" x14ac:dyDescent="0.25">
      <c r="B13" s="1">
        <v>22</v>
      </c>
      <c r="C13" s="116" t="s">
        <v>12</v>
      </c>
      <c r="D13" s="115" t="s">
        <v>226</v>
      </c>
      <c r="H13" s="1" t="s">
        <v>8</v>
      </c>
      <c r="I13" s="1" t="s">
        <v>26</v>
      </c>
      <c r="M13" s="1" t="s">
        <v>399</v>
      </c>
    </row>
    <row r="14" spans="1:13" ht="15" customHeight="1" x14ac:dyDescent="0.25">
      <c r="B14" s="1">
        <v>18</v>
      </c>
      <c r="C14" s="116" t="s">
        <v>227</v>
      </c>
      <c r="H14" s="1" t="s">
        <v>20</v>
      </c>
      <c r="I14" s="1" t="s">
        <v>127</v>
      </c>
      <c r="M14" s="158" t="s">
        <v>278</v>
      </c>
    </row>
    <row r="15" spans="1:13" x14ac:dyDescent="0.25">
      <c r="B15" s="1">
        <v>20</v>
      </c>
      <c r="C15" s="116" t="s">
        <v>29</v>
      </c>
      <c r="D15" s="116" t="s">
        <v>27</v>
      </c>
      <c r="H15" s="1" t="s">
        <v>19</v>
      </c>
      <c r="M15" s="158"/>
    </row>
    <row r="16" spans="1:13" x14ac:dyDescent="0.25">
      <c r="B16" s="1">
        <v>18</v>
      </c>
      <c r="C16" s="116" t="s">
        <v>23</v>
      </c>
      <c r="D16" s="179" t="s">
        <v>301</v>
      </c>
      <c r="E16" s="179"/>
      <c r="H16" s="1" t="s">
        <v>18</v>
      </c>
      <c r="M16" s="158"/>
    </row>
    <row r="17" spans="2:13" x14ac:dyDescent="0.25">
      <c r="B17" s="1">
        <v>20</v>
      </c>
      <c r="C17" s="116" t="s">
        <v>195</v>
      </c>
      <c r="D17" s="115" t="s">
        <v>27</v>
      </c>
      <c r="H17" s="1" t="s">
        <v>17</v>
      </c>
      <c r="M17" s="158"/>
    </row>
    <row r="18" spans="2:13" x14ac:dyDescent="0.25">
      <c r="B18" s="1">
        <v>20</v>
      </c>
      <c r="C18" s="1" t="s">
        <v>228</v>
      </c>
      <c r="D18" s="116" t="s">
        <v>2</v>
      </c>
      <c r="H18" s="1" t="s">
        <v>230</v>
      </c>
    </row>
    <row r="19" spans="2:13" x14ac:dyDescent="0.25">
      <c r="B19" s="1">
        <v>22</v>
      </c>
      <c r="C19" s="115" t="s">
        <v>231</v>
      </c>
      <c r="D19" s="116" t="s">
        <v>232</v>
      </c>
      <c r="E19" s="116" t="s">
        <v>2</v>
      </c>
      <c r="F19" s="116" t="s">
        <v>98</v>
      </c>
      <c r="H19" s="1" t="s">
        <v>102</v>
      </c>
      <c r="I19" s="1" t="s">
        <v>236</v>
      </c>
      <c r="M19" s="119" t="s">
        <v>338</v>
      </c>
    </row>
    <row r="20" spans="2:13" x14ac:dyDescent="0.25">
      <c r="B20" s="1">
        <v>22</v>
      </c>
      <c r="C20" s="116" t="s">
        <v>235</v>
      </c>
      <c r="D20" s="116" t="s">
        <v>115</v>
      </c>
      <c r="E20" s="116" t="s">
        <v>98</v>
      </c>
      <c r="H20" s="1" t="s">
        <v>110</v>
      </c>
      <c r="M20" s="119" t="s">
        <v>339</v>
      </c>
    </row>
    <row r="21" spans="2:13" x14ac:dyDescent="0.25">
      <c r="B21" s="1">
        <v>22</v>
      </c>
      <c r="C21" s="116" t="s">
        <v>105</v>
      </c>
      <c r="D21" s="116" t="s">
        <v>313</v>
      </c>
      <c r="E21" s="116" t="s">
        <v>242</v>
      </c>
      <c r="H21" s="1" t="s">
        <v>104</v>
      </c>
      <c r="I21" s="1" t="s">
        <v>240</v>
      </c>
      <c r="J21" s="1" t="s">
        <v>95</v>
      </c>
      <c r="K21" s="1" t="s">
        <v>302</v>
      </c>
      <c r="M21" s="1" t="s">
        <v>340</v>
      </c>
    </row>
    <row r="22" spans="2:13" x14ac:dyDescent="0.25">
      <c r="B22" s="1">
        <v>22</v>
      </c>
      <c r="C22" s="116" t="s">
        <v>87</v>
      </c>
      <c r="D22" s="116" t="s">
        <v>88</v>
      </c>
      <c r="E22" s="116" t="s">
        <v>241</v>
      </c>
      <c r="F22" s="116" t="s">
        <v>234</v>
      </c>
      <c r="H22" s="1" t="s">
        <v>128</v>
      </c>
      <c r="I22" s="1" t="s">
        <v>239</v>
      </c>
    </row>
    <row r="23" spans="2:13" x14ac:dyDescent="0.25">
      <c r="M23" s="115" t="s">
        <v>303</v>
      </c>
    </row>
    <row r="24" spans="2:13" x14ac:dyDescent="0.25">
      <c r="M24" s="118" t="s">
        <v>304</v>
      </c>
    </row>
    <row r="25" spans="2:13" x14ac:dyDescent="0.25">
      <c r="B25" s="177" t="s">
        <v>342</v>
      </c>
      <c r="C25" s="177"/>
      <c r="D25" s="177"/>
      <c r="E25" s="177"/>
      <c r="F25" s="177"/>
      <c r="G25" s="177"/>
      <c r="H25" s="177"/>
      <c r="I25" s="177"/>
    </row>
    <row r="26" spans="2:13" x14ac:dyDescent="0.25">
      <c r="B26" s="94"/>
      <c r="C26" s="94"/>
      <c r="D26" s="94"/>
      <c r="E26" s="94"/>
      <c r="F26" s="94"/>
      <c r="G26" s="94"/>
      <c r="H26" s="94"/>
      <c r="I26" s="94"/>
    </row>
    <row r="27" spans="2:13" x14ac:dyDescent="0.25">
      <c r="B27" s="88" t="s">
        <v>190</v>
      </c>
      <c r="C27" s="88" t="s">
        <v>191</v>
      </c>
      <c r="D27" s="88" t="s">
        <v>192</v>
      </c>
      <c r="E27" s="92" t="s">
        <v>229</v>
      </c>
      <c r="F27" s="92" t="s">
        <v>233</v>
      </c>
      <c r="H27" s="92" t="s">
        <v>249</v>
      </c>
    </row>
    <row r="28" spans="2:13" x14ac:dyDescent="0.25">
      <c r="B28" s="1" t="s">
        <v>248</v>
      </c>
    </row>
    <row r="29" spans="2:13" x14ac:dyDescent="0.25">
      <c r="B29" s="1">
        <v>18</v>
      </c>
      <c r="C29" s="116" t="s">
        <v>238</v>
      </c>
      <c r="H29" s="1" t="s">
        <v>193</v>
      </c>
      <c r="I29" s="1" t="s">
        <v>387</v>
      </c>
    </row>
    <row r="30" spans="2:13" x14ac:dyDescent="0.25">
      <c r="B30" s="1">
        <v>22</v>
      </c>
      <c r="C30" s="1" t="s">
        <v>115</v>
      </c>
      <c r="D30" s="116" t="s">
        <v>13</v>
      </c>
      <c r="E30" s="115" t="s">
        <v>226</v>
      </c>
      <c r="H30" s="1" t="s">
        <v>0</v>
      </c>
      <c r="I30" s="1" t="s">
        <v>9</v>
      </c>
    </row>
    <row r="31" spans="2:13" x14ac:dyDescent="0.25">
      <c r="B31" s="1">
        <v>22</v>
      </c>
      <c r="C31" s="121" t="s">
        <v>12</v>
      </c>
      <c r="D31" s="115" t="s">
        <v>226</v>
      </c>
      <c r="H31" s="1" t="s">
        <v>8</v>
      </c>
      <c r="I31" s="1" t="s">
        <v>26</v>
      </c>
    </row>
    <row r="32" spans="2:13" x14ac:dyDescent="0.25">
      <c r="B32" s="1">
        <v>18</v>
      </c>
      <c r="C32" s="116" t="s">
        <v>227</v>
      </c>
      <c r="H32" s="1" t="s">
        <v>20</v>
      </c>
      <c r="I32" s="1" t="s">
        <v>127</v>
      </c>
    </row>
    <row r="33" spans="2:11" x14ac:dyDescent="0.25">
      <c r="B33" s="1">
        <v>20</v>
      </c>
      <c r="C33" s="116" t="s">
        <v>29</v>
      </c>
      <c r="D33" s="116" t="s">
        <v>27</v>
      </c>
      <c r="H33" s="1" t="s">
        <v>19</v>
      </c>
    </row>
    <row r="34" spans="2:11" x14ac:dyDescent="0.25">
      <c r="B34" s="1">
        <v>18</v>
      </c>
      <c r="C34" s="116" t="s">
        <v>23</v>
      </c>
      <c r="D34" s="179" t="s">
        <v>301</v>
      </c>
      <c r="E34" s="179"/>
      <c r="H34" s="1" t="s">
        <v>18</v>
      </c>
    </row>
    <row r="35" spans="2:11" x14ac:dyDescent="0.25">
      <c r="B35" s="1">
        <v>20</v>
      </c>
      <c r="C35" s="116" t="s">
        <v>195</v>
      </c>
      <c r="D35" s="156"/>
      <c r="H35" s="1" t="s">
        <v>17</v>
      </c>
    </row>
    <row r="36" spans="2:11" x14ac:dyDescent="0.25">
      <c r="B36" s="1">
        <v>20</v>
      </c>
      <c r="C36" s="1" t="s">
        <v>228</v>
      </c>
      <c r="D36" s="116" t="s">
        <v>2</v>
      </c>
      <c r="H36" s="1" t="s">
        <v>230</v>
      </c>
    </row>
    <row r="37" spans="2:11" x14ac:dyDescent="0.25">
      <c r="B37" s="1">
        <v>18</v>
      </c>
      <c r="C37" s="156" t="s">
        <v>344</v>
      </c>
      <c r="D37" s="156" t="s">
        <v>2</v>
      </c>
      <c r="E37" s="156" t="s">
        <v>98</v>
      </c>
      <c r="F37" s="156" t="s">
        <v>396</v>
      </c>
      <c r="H37" s="1" t="s">
        <v>102</v>
      </c>
      <c r="I37" s="1" t="s">
        <v>127</v>
      </c>
    </row>
    <row r="38" spans="2:11" x14ac:dyDescent="0.25">
      <c r="B38" s="1">
        <v>18</v>
      </c>
      <c r="C38" s="116" t="s">
        <v>235</v>
      </c>
      <c r="D38" s="116" t="s">
        <v>115</v>
      </c>
      <c r="E38" s="116" t="s">
        <v>98</v>
      </c>
      <c r="H38" s="1" t="s">
        <v>110</v>
      </c>
    </row>
    <row r="39" spans="2:11" x14ac:dyDescent="0.25">
      <c r="B39" s="1">
        <v>18</v>
      </c>
      <c r="C39" s="156" t="s">
        <v>105</v>
      </c>
      <c r="D39" s="156" t="s">
        <v>237</v>
      </c>
      <c r="H39" s="1" t="s">
        <v>104</v>
      </c>
      <c r="I39" s="1" t="s">
        <v>240</v>
      </c>
    </row>
    <row r="40" spans="2:11" x14ac:dyDescent="0.25">
      <c r="B40" s="1">
        <v>18</v>
      </c>
      <c r="C40" s="156" t="s">
        <v>87</v>
      </c>
      <c r="D40" s="156" t="s">
        <v>88</v>
      </c>
      <c r="E40" s="156" t="s">
        <v>397</v>
      </c>
      <c r="F40" s="1" t="s">
        <v>234</v>
      </c>
      <c r="H40" s="1" t="s">
        <v>128</v>
      </c>
      <c r="I40" s="1" t="s">
        <v>239</v>
      </c>
    </row>
    <row r="43" spans="2:11" x14ac:dyDescent="0.25">
      <c r="B43" s="177" t="s">
        <v>343</v>
      </c>
      <c r="C43" s="177"/>
      <c r="D43" s="177"/>
      <c r="E43" s="177"/>
      <c r="F43" s="177"/>
      <c r="G43" s="177"/>
      <c r="H43" s="177"/>
      <c r="I43" s="177"/>
    </row>
    <row r="45" spans="2:11" x14ac:dyDescent="0.25">
      <c r="B45" s="93" t="s">
        <v>190</v>
      </c>
      <c r="C45" s="93" t="s">
        <v>191</v>
      </c>
      <c r="D45" s="93" t="s">
        <v>192</v>
      </c>
      <c r="E45" s="93" t="s">
        <v>229</v>
      </c>
      <c r="F45" s="93" t="s">
        <v>233</v>
      </c>
      <c r="H45" s="93" t="s">
        <v>249</v>
      </c>
    </row>
    <row r="46" spans="2:11" x14ac:dyDescent="0.25">
      <c r="B46" s="1" t="s">
        <v>248</v>
      </c>
      <c r="C46" s="118" t="s">
        <v>115</v>
      </c>
      <c r="D46" s="118" t="s">
        <v>2</v>
      </c>
      <c r="E46" s="118" t="s">
        <v>226</v>
      </c>
      <c r="F46" s="115" t="s">
        <v>316</v>
      </c>
      <c r="H46" s="1" t="s">
        <v>0</v>
      </c>
      <c r="I46" s="1" t="s">
        <v>193</v>
      </c>
      <c r="J46" s="1" t="s">
        <v>154</v>
      </c>
      <c r="K46" s="1" t="s">
        <v>230</v>
      </c>
    </row>
    <row r="47" spans="2:11" x14ac:dyDescent="0.25">
      <c r="B47" s="1">
        <v>18</v>
      </c>
      <c r="C47" s="121" t="s">
        <v>234</v>
      </c>
      <c r="D47" s="1" t="s">
        <v>398</v>
      </c>
      <c r="H47" s="1" t="s">
        <v>193</v>
      </c>
      <c r="I47" s="1" t="s">
        <v>31</v>
      </c>
      <c r="J47" s="1" t="s">
        <v>255</v>
      </c>
    </row>
    <row r="48" spans="2:11" x14ac:dyDescent="0.25">
      <c r="B48" s="1" t="s">
        <v>251</v>
      </c>
      <c r="C48" s="118" t="s">
        <v>238</v>
      </c>
      <c r="H48" s="1" t="s">
        <v>387</v>
      </c>
      <c r="I48" s="1" t="s">
        <v>255</v>
      </c>
    </row>
    <row r="49" spans="2:13" x14ac:dyDescent="0.25">
      <c r="B49" s="1">
        <v>22</v>
      </c>
      <c r="C49" s="118" t="s">
        <v>12</v>
      </c>
      <c r="D49" s="115"/>
      <c r="H49" s="1" t="s">
        <v>8</v>
      </c>
      <c r="I49" s="1" t="s">
        <v>26</v>
      </c>
    </row>
    <row r="50" spans="2:13" x14ac:dyDescent="0.25">
      <c r="B50" s="1">
        <v>20</v>
      </c>
      <c r="C50" s="1" t="s">
        <v>395</v>
      </c>
      <c r="D50" s="118" t="s">
        <v>13</v>
      </c>
      <c r="H50" s="1" t="s">
        <v>9</v>
      </c>
    </row>
    <row r="51" spans="2:13" x14ac:dyDescent="0.25">
      <c r="B51" s="1">
        <v>18</v>
      </c>
      <c r="C51" s="118" t="s">
        <v>227</v>
      </c>
      <c r="H51" s="1" t="s">
        <v>20</v>
      </c>
      <c r="I51" s="1" t="s">
        <v>254</v>
      </c>
      <c r="J51" s="1" t="s">
        <v>255</v>
      </c>
    </row>
    <row r="52" spans="2:13" x14ac:dyDescent="0.25">
      <c r="B52" s="1">
        <v>20</v>
      </c>
      <c r="C52" s="118" t="s">
        <v>29</v>
      </c>
      <c r="D52" s="156" t="s">
        <v>27</v>
      </c>
      <c r="H52" s="1" t="s">
        <v>19</v>
      </c>
    </row>
    <row r="53" spans="2:13" x14ac:dyDescent="0.25">
      <c r="B53" s="1">
        <v>18</v>
      </c>
      <c r="C53" s="118" t="s">
        <v>23</v>
      </c>
      <c r="D53" s="118" t="s">
        <v>12</v>
      </c>
      <c r="E53" s="118" t="s">
        <v>234</v>
      </c>
      <c r="H53" s="1" t="s">
        <v>18</v>
      </c>
    </row>
    <row r="54" spans="2:13" x14ac:dyDescent="0.25">
      <c r="B54" s="1">
        <v>20</v>
      </c>
      <c r="C54" s="118" t="s">
        <v>195</v>
      </c>
      <c r="H54" s="1" t="s">
        <v>17</v>
      </c>
    </row>
    <row r="55" spans="2:13" x14ac:dyDescent="0.25">
      <c r="B55" s="1">
        <v>18</v>
      </c>
      <c r="C55" s="148" t="s">
        <v>344</v>
      </c>
      <c r="D55" s="118" t="s">
        <v>2</v>
      </c>
      <c r="E55" s="118" t="s">
        <v>98</v>
      </c>
      <c r="F55" s="118" t="s">
        <v>396</v>
      </c>
      <c r="H55" s="1" t="s">
        <v>102</v>
      </c>
      <c r="I55" s="1" t="s">
        <v>127</v>
      </c>
    </row>
    <row r="56" spans="2:13" x14ac:dyDescent="0.25">
      <c r="B56" s="1">
        <v>18</v>
      </c>
      <c r="C56" s="118" t="s">
        <v>235</v>
      </c>
      <c r="D56" s="118" t="s">
        <v>115</v>
      </c>
      <c r="E56" s="118" t="s">
        <v>98</v>
      </c>
      <c r="F56" s="1" t="s">
        <v>117</v>
      </c>
      <c r="H56" s="1" t="s">
        <v>110</v>
      </c>
    </row>
    <row r="57" spans="2:13" x14ac:dyDescent="0.25">
      <c r="B57" s="1">
        <v>18</v>
      </c>
      <c r="C57" s="118" t="s">
        <v>105</v>
      </c>
      <c r="D57" s="118" t="s">
        <v>237</v>
      </c>
      <c r="H57" s="1" t="s">
        <v>104</v>
      </c>
      <c r="I57" s="1" t="s">
        <v>240</v>
      </c>
    </row>
    <row r="58" spans="2:13" x14ac:dyDescent="0.25">
      <c r="B58" s="1">
        <v>18</v>
      </c>
      <c r="C58" s="118" t="s">
        <v>87</v>
      </c>
      <c r="D58" s="118" t="s">
        <v>88</v>
      </c>
      <c r="E58" s="118" t="s">
        <v>397</v>
      </c>
      <c r="F58" s="1" t="s">
        <v>234</v>
      </c>
      <c r="G58" s="1" t="s">
        <v>315</v>
      </c>
      <c r="H58" s="1" t="s">
        <v>128</v>
      </c>
      <c r="I58" s="1" t="s">
        <v>239</v>
      </c>
    </row>
    <row r="61" spans="2:13" x14ac:dyDescent="0.25">
      <c r="B61" s="175" t="s">
        <v>421</v>
      </c>
      <c r="C61" s="175"/>
      <c r="D61" s="175"/>
      <c r="E61" s="175"/>
      <c r="F61" s="175"/>
      <c r="G61" s="175"/>
      <c r="H61" s="175"/>
      <c r="I61" s="175"/>
    </row>
    <row r="63" spans="2:13" x14ac:dyDescent="0.25">
      <c r="B63" s="119" t="s">
        <v>190</v>
      </c>
      <c r="C63" s="119" t="s">
        <v>191</v>
      </c>
      <c r="D63" s="119" t="s">
        <v>192</v>
      </c>
      <c r="E63" s="119" t="s">
        <v>229</v>
      </c>
      <c r="F63" s="119" t="s">
        <v>233</v>
      </c>
      <c r="H63" s="119" t="s">
        <v>249</v>
      </c>
    </row>
    <row r="64" spans="2:13" x14ac:dyDescent="0.25">
      <c r="B64" s="1" t="s">
        <v>248</v>
      </c>
      <c r="C64" s="157" t="s">
        <v>115</v>
      </c>
      <c r="D64" s="157" t="s">
        <v>2</v>
      </c>
      <c r="E64" s="157" t="s">
        <v>407</v>
      </c>
      <c r="F64" s="115" t="s">
        <v>408</v>
      </c>
      <c r="H64" s="1" t="s">
        <v>0</v>
      </c>
      <c r="I64" s="1" t="s">
        <v>193</v>
      </c>
      <c r="J64" s="1" t="s">
        <v>154</v>
      </c>
      <c r="K64" s="1" t="s">
        <v>230</v>
      </c>
      <c r="M64" s="1" t="s">
        <v>418</v>
      </c>
    </row>
    <row r="65" spans="2:13" x14ac:dyDescent="0.25">
      <c r="B65" s="1">
        <v>18</v>
      </c>
      <c r="C65" s="121" t="s">
        <v>234</v>
      </c>
      <c r="D65" s="1" t="s">
        <v>416</v>
      </c>
      <c r="H65" s="1" t="s">
        <v>193</v>
      </c>
      <c r="I65" s="1" t="s">
        <v>31</v>
      </c>
      <c r="J65" s="1" t="s">
        <v>255</v>
      </c>
      <c r="M65" s="1" t="s">
        <v>417</v>
      </c>
    </row>
    <row r="66" spans="2:13" x14ac:dyDescent="0.25">
      <c r="B66" s="1">
        <v>22</v>
      </c>
      <c r="C66" s="157" t="s">
        <v>12</v>
      </c>
      <c r="D66" s="115"/>
      <c r="H66" s="1" t="s">
        <v>8</v>
      </c>
      <c r="I66" s="1" t="s">
        <v>26</v>
      </c>
    </row>
    <row r="67" spans="2:13" x14ac:dyDescent="0.25">
      <c r="B67" s="1">
        <v>20</v>
      </c>
      <c r="C67" s="1" t="s">
        <v>415</v>
      </c>
      <c r="D67" s="157" t="s">
        <v>13</v>
      </c>
      <c r="H67" s="1" t="s">
        <v>9</v>
      </c>
    </row>
    <row r="68" spans="2:13" x14ac:dyDescent="0.25">
      <c r="B68" s="1">
        <v>18</v>
      </c>
      <c r="C68" s="157" t="s">
        <v>414</v>
      </c>
      <c r="H68" s="1" t="s">
        <v>20</v>
      </c>
      <c r="I68" s="1" t="s">
        <v>254</v>
      </c>
      <c r="J68" s="1" t="s">
        <v>255</v>
      </c>
    </row>
    <row r="69" spans="2:13" x14ac:dyDescent="0.25">
      <c r="B69" s="1">
        <v>20</v>
      </c>
      <c r="C69" s="157" t="s">
        <v>29</v>
      </c>
      <c r="D69" s="157" t="s">
        <v>27</v>
      </c>
      <c r="H69" s="1" t="s">
        <v>19</v>
      </c>
    </row>
    <row r="70" spans="2:13" x14ac:dyDescent="0.25">
      <c r="B70" s="1">
        <v>18</v>
      </c>
      <c r="C70" s="157" t="s">
        <v>23</v>
      </c>
      <c r="D70" s="157" t="s">
        <v>12</v>
      </c>
      <c r="E70" s="157"/>
      <c r="H70" s="1" t="s">
        <v>18</v>
      </c>
    </row>
    <row r="71" spans="2:13" x14ac:dyDescent="0.25">
      <c r="B71" s="1">
        <v>20</v>
      </c>
      <c r="C71" s="157" t="s">
        <v>195</v>
      </c>
      <c r="H71" s="1" t="s">
        <v>17</v>
      </c>
    </row>
    <row r="72" spans="2:13" x14ac:dyDescent="0.25">
      <c r="B72" s="1">
        <v>18</v>
      </c>
      <c r="C72" s="157" t="s">
        <v>413</v>
      </c>
      <c r="D72" s="157" t="s">
        <v>2</v>
      </c>
      <c r="E72" s="157" t="s">
        <v>98</v>
      </c>
      <c r="F72" s="157" t="s">
        <v>396</v>
      </c>
      <c r="H72" s="1" t="s">
        <v>102</v>
      </c>
      <c r="I72" s="1" t="s">
        <v>127</v>
      </c>
      <c r="M72" s="1" t="s">
        <v>419</v>
      </c>
    </row>
    <row r="73" spans="2:13" x14ac:dyDescent="0.25">
      <c r="B73" s="1">
        <v>18</v>
      </c>
      <c r="C73" s="157" t="s">
        <v>412</v>
      </c>
      <c r="D73" s="157" t="s">
        <v>115</v>
      </c>
      <c r="E73" s="157" t="s">
        <v>98</v>
      </c>
      <c r="F73" s="1" t="s">
        <v>117</v>
      </c>
      <c r="H73" s="1" t="s">
        <v>110</v>
      </c>
    </row>
    <row r="74" spans="2:13" x14ac:dyDescent="0.25">
      <c r="B74" s="1">
        <v>18</v>
      </c>
      <c r="C74" s="157" t="s">
        <v>105</v>
      </c>
      <c r="D74" s="157" t="s">
        <v>409</v>
      </c>
      <c r="H74" s="1" t="s">
        <v>104</v>
      </c>
      <c r="I74" s="1" t="s">
        <v>240</v>
      </c>
      <c r="M74" s="1" t="s">
        <v>410</v>
      </c>
    </row>
    <row r="75" spans="2:13" x14ac:dyDescent="0.25">
      <c r="B75" s="1">
        <v>18</v>
      </c>
      <c r="C75" s="157" t="s">
        <v>87</v>
      </c>
      <c r="D75" s="157" t="s">
        <v>88</v>
      </c>
      <c r="E75" s="157" t="s">
        <v>411</v>
      </c>
      <c r="F75" s="1" t="s">
        <v>234</v>
      </c>
      <c r="G75" s="1" t="s">
        <v>315</v>
      </c>
      <c r="H75" s="1" t="s">
        <v>128</v>
      </c>
      <c r="I75" s="1" t="s">
        <v>239</v>
      </c>
    </row>
    <row r="78" spans="2:13" x14ac:dyDescent="0.25">
      <c r="B78" s="175" t="s">
        <v>420</v>
      </c>
      <c r="C78" s="175"/>
      <c r="D78" s="175"/>
      <c r="E78" s="175"/>
      <c r="F78" s="175"/>
      <c r="G78" s="175"/>
      <c r="H78" s="175"/>
      <c r="I78" s="175"/>
      <c r="M78" s="1" t="s">
        <v>423</v>
      </c>
    </row>
    <row r="80" spans="2:13" x14ac:dyDescent="0.25">
      <c r="B80" s="119" t="s">
        <v>190</v>
      </c>
      <c r="C80" s="119" t="s">
        <v>191</v>
      </c>
      <c r="D80" s="119" t="s">
        <v>192</v>
      </c>
      <c r="E80" s="119" t="s">
        <v>229</v>
      </c>
      <c r="F80" s="119" t="s">
        <v>233</v>
      </c>
      <c r="H80" s="119" t="s">
        <v>249</v>
      </c>
    </row>
    <row r="81" spans="2:11" x14ac:dyDescent="0.25">
      <c r="B81" s="1" t="s">
        <v>248</v>
      </c>
      <c r="C81" s="157" t="s">
        <v>115</v>
      </c>
      <c r="D81" s="157" t="s">
        <v>2</v>
      </c>
      <c r="E81" s="157" t="s">
        <v>407</v>
      </c>
      <c r="F81" s="115" t="s">
        <v>406</v>
      </c>
      <c r="H81" s="1" t="s">
        <v>0</v>
      </c>
      <c r="I81" s="1" t="s">
        <v>193</v>
      </c>
      <c r="J81" s="1" t="s">
        <v>154</v>
      </c>
      <c r="K81" s="1" t="s">
        <v>230</v>
      </c>
    </row>
    <row r="82" spans="2:11" x14ac:dyDescent="0.25">
      <c r="B82" s="1">
        <v>18</v>
      </c>
      <c r="C82" s="121" t="s">
        <v>234</v>
      </c>
      <c r="D82" s="1" t="s">
        <v>416</v>
      </c>
      <c r="H82" s="1" t="s">
        <v>193</v>
      </c>
      <c r="I82" s="1" t="s">
        <v>31</v>
      </c>
      <c r="J82" s="1" t="s">
        <v>255</v>
      </c>
    </row>
    <row r="83" spans="2:11" x14ac:dyDescent="0.25">
      <c r="B83" s="1">
        <v>22</v>
      </c>
      <c r="C83" s="157" t="s">
        <v>12</v>
      </c>
      <c r="D83" s="115"/>
      <c r="H83" s="1" t="s">
        <v>8</v>
      </c>
      <c r="I83" s="1" t="s">
        <v>26</v>
      </c>
    </row>
    <row r="84" spans="2:11" x14ac:dyDescent="0.25">
      <c r="B84" s="1">
        <v>20</v>
      </c>
      <c r="C84" s="1" t="s">
        <v>415</v>
      </c>
      <c r="D84" s="157" t="s">
        <v>13</v>
      </c>
      <c r="H84" s="1" t="s">
        <v>9</v>
      </c>
    </row>
    <row r="85" spans="2:11" x14ac:dyDescent="0.25">
      <c r="B85" s="1">
        <v>18</v>
      </c>
      <c r="C85" s="157" t="s">
        <v>414</v>
      </c>
      <c r="H85" s="1" t="s">
        <v>20</v>
      </c>
      <c r="I85" s="1" t="s">
        <v>254</v>
      </c>
      <c r="J85" s="1" t="s">
        <v>255</v>
      </c>
    </row>
    <row r="86" spans="2:11" x14ac:dyDescent="0.25">
      <c r="B86" s="1">
        <v>20</v>
      </c>
      <c r="C86" s="157" t="s">
        <v>29</v>
      </c>
      <c r="D86" s="157" t="s">
        <v>27</v>
      </c>
      <c r="H86" s="1" t="s">
        <v>19</v>
      </c>
    </row>
    <row r="87" spans="2:11" x14ac:dyDescent="0.25">
      <c r="B87" s="1">
        <v>18</v>
      </c>
      <c r="C87" s="157" t="s">
        <v>23</v>
      </c>
      <c r="D87" s="157" t="s">
        <v>12</v>
      </c>
      <c r="E87" s="157"/>
      <c r="H87" s="1" t="s">
        <v>18</v>
      </c>
    </row>
    <row r="88" spans="2:11" x14ac:dyDescent="0.25">
      <c r="B88" s="1">
        <v>20</v>
      </c>
      <c r="C88" s="157" t="s">
        <v>195</v>
      </c>
      <c r="H88" s="1" t="s">
        <v>17</v>
      </c>
    </row>
    <row r="89" spans="2:11" x14ac:dyDescent="0.25">
      <c r="B89" s="1">
        <v>18</v>
      </c>
      <c r="C89" s="157" t="s">
        <v>413</v>
      </c>
      <c r="D89" s="157" t="s">
        <v>2</v>
      </c>
      <c r="E89" s="157" t="s">
        <v>98</v>
      </c>
      <c r="F89" s="157" t="s">
        <v>396</v>
      </c>
      <c r="H89" s="1" t="s">
        <v>102</v>
      </c>
      <c r="I89" s="1" t="s">
        <v>127</v>
      </c>
    </row>
    <row r="90" spans="2:11" x14ac:dyDescent="0.25">
      <c r="B90" s="1">
        <v>18</v>
      </c>
      <c r="C90" s="157" t="s">
        <v>412</v>
      </c>
      <c r="D90" s="157" t="s">
        <v>115</v>
      </c>
      <c r="E90" s="157" t="s">
        <v>98</v>
      </c>
      <c r="F90" s="1" t="s">
        <v>117</v>
      </c>
      <c r="H90" s="1" t="s">
        <v>110</v>
      </c>
    </row>
    <row r="91" spans="2:11" x14ac:dyDescent="0.25">
      <c r="B91" s="1">
        <v>18</v>
      </c>
      <c r="C91" s="157" t="s">
        <v>105</v>
      </c>
      <c r="D91" s="157" t="s">
        <v>422</v>
      </c>
      <c r="H91" s="1" t="s">
        <v>104</v>
      </c>
      <c r="I91" s="1" t="s">
        <v>240</v>
      </c>
    </row>
    <row r="92" spans="2:11" x14ac:dyDescent="0.25">
      <c r="B92" s="1">
        <v>18</v>
      </c>
      <c r="C92" s="157" t="s">
        <v>87</v>
      </c>
      <c r="D92" s="157" t="s">
        <v>88</v>
      </c>
      <c r="E92" s="157"/>
      <c r="G92" s="1" t="s">
        <v>315</v>
      </c>
      <c r="H92" s="1" t="s">
        <v>128</v>
      </c>
    </row>
  </sheetData>
  <mergeCells count="10">
    <mergeCell ref="B61:I61"/>
    <mergeCell ref="B78:I78"/>
    <mergeCell ref="G2:I2"/>
    <mergeCell ref="B25:I25"/>
    <mergeCell ref="B43:I43"/>
    <mergeCell ref="A3:M3"/>
    <mergeCell ref="D34:E34"/>
    <mergeCell ref="B7:I7"/>
    <mergeCell ref="D16:E16"/>
    <mergeCell ref="B5:M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7B9F0-28D5-4E85-B2F4-9FC9DD677F90}">
  <dimension ref="B2:I54"/>
  <sheetViews>
    <sheetView workbookViewId="0">
      <selection activeCell="D28" sqref="D28"/>
    </sheetView>
  </sheetViews>
  <sheetFormatPr defaultRowHeight="15" x14ac:dyDescent="0.25"/>
  <cols>
    <col min="2" max="2" width="42.42578125" bestFit="1" customWidth="1"/>
    <col min="3" max="3" width="16.7109375" style="188" customWidth="1"/>
    <col min="4" max="4" width="31.140625" customWidth="1"/>
    <col min="5" max="5" width="89.5703125" customWidth="1"/>
    <col min="7" max="7" width="36.28515625" hidden="1" customWidth="1"/>
    <col min="8" max="8" width="15.140625" hidden="1" customWidth="1"/>
    <col min="9" max="9" width="19" hidden="1" customWidth="1"/>
  </cols>
  <sheetData>
    <row r="2" spans="2:9" x14ac:dyDescent="0.25">
      <c r="B2" s="89" t="s">
        <v>390</v>
      </c>
      <c r="E2" s="89" t="s">
        <v>252</v>
      </c>
    </row>
    <row r="3" spans="2:9" x14ac:dyDescent="0.25">
      <c r="B3" t="s">
        <v>349</v>
      </c>
      <c r="C3" s="189">
        <v>2500</v>
      </c>
      <c r="E3" t="s">
        <v>385</v>
      </c>
      <c r="G3" s="89" t="s">
        <v>350</v>
      </c>
    </row>
    <row r="4" spans="2:9" x14ac:dyDescent="0.25">
      <c r="B4" t="s">
        <v>352</v>
      </c>
      <c r="C4" s="189">
        <v>8</v>
      </c>
      <c r="E4" t="s">
        <v>361</v>
      </c>
      <c r="G4" t="s">
        <v>353</v>
      </c>
      <c r="H4">
        <f>(22*C4*50)</f>
        <v>8800</v>
      </c>
    </row>
    <row r="5" spans="2:9" x14ac:dyDescent="0.25">
      <c r="B5" t="s">
        <v>351</v>
      </c>
      <c r="C5" s="188">
        <f>H5</f>
        <v>44.48</v>
      </c>
      <c r="E5" t="s">
        <v>377</v>
      </c>
      <c r="G5" t="s">
        <v>351</v>
      </c>
      <c r="H5">
        <f>MAX(0,((120000-C8-H4-C18)/C3))</f>
        <v>44.48</v>
      </c>
    </row>
    <row r="6" spans="2:9" x14ac:dyDescent="0.25">
      <c r="E6" t="s">
        <v>391</v>
      </c>
    </row>
    <row r="7" spans="2:9" x14ac:dyDescent="0.25">
      <c r="B7" s="89" t="s">
        <v>386</v>
      </c>
      <c r="E7" s="146" t="s">
        <v>400</v>
      </c>
      <c r="G7" t="s">
        <v>360</v>
      </c>
      <c r="H7">
        <f>16+C5</f>
        <v>60.48</v>
      </c>
      <c r="I7" t="s">
        <v>375</v>
      </c>
    </row>
    <row r="8" spans="2:9" x14ac:dyDescent="0.25">
      <c r="B8" t="s">
        <v>388</v>
      </c>
      <c r="C8" s="189"/>
      <c r="G8" t="s">
        <v>354</v>
      </c>
      <c r="H8">
        <f>22+C5</f>
        <v>66.47999999999999</v>
      </c>
      <c r="I8" t="s">
        <v>376</v>
      </c>
    </row>
    <row r="9" spans="2:9" x14ac:dyDescent="0.25">
      <c r="B9" s="155" t="s">
        <v>193</v>
      </c>
      <c r="C9" s="189"/>
    </row>
    <row r="10" spans="2:9" x14ac:dyDescent="0.25">
      <c r="B10" s="155" t="s">
        <v>250</v>
      </c>
      <c r="C10" s="189"/>
      <c r="G10" t="s">
        <v>358</v>
      </c>
      <c r="H10">
        <f>5000-C9</f>
        <v>5000</v>
      </c>
    </row>
    <row r="11" spans="2:9" x14ac:dyDescent="0.25">
      <c r="B11" s="155" t="s">
        <v>387</v>
      </c>
      <c r="C11" s="189"/>
      <c r="G11" t="s">
        <v>359</v>
      </c>
      <c r="H11">
        <f>6360-C10</f>
        <v>6360</v>
      </c>
    </row>
    <row r="12" spans="2:9" x14ac:dyDescent="0.25">
      <c r="B12" s="155" t="s">
        <v>95</v>
      </c>
      <c r="C12" s="189"/>
      <c r="G12" t="s">
        <v>362</v>
      </c>
      <c r="H12">
        <f>12780-C11</f>
        <v>12780</v>
      </c>
    </row>
    <row r="13" spans="2:9" x14ac:dyDescent="0.25">
      <c r="B13" s="155" t="s">
        <v>240</v>
      </c>
      <c r="C13" s="189"/>
      <c r="G13" t="s">
        <v>366</v>
      </c>
      <c r="H13">
        <f>4000-C12</f>
        <v>4000</v>
      </c>
    </row>
    <row r="14" spans="2:9" x14ac:dyDescent="0.25">
      <c r="B14" s="155"/>
      <c r="C14" s="190"/>
    </row>
    <row r="15" spans="2:9" x14ac:dyDescent="0.25">
      <c r="B15" s="89" t="s">
        <v>404</v>
      </c>
      <c r="C15" s="190"/>
    </row>
    <row r="16" spans="2:9" x14ac:dyDescent="0.25">
      <c r="B16" s="155" t="s">
        <v>403</v>
      </c>
      <c r="C16" s="189">
        <v>0</v>
      </c>
      <c r="E16" t="s">
        <v>424</v>
      </c>
    </row>
    <row r="17" spans="2:8" x14ac:dyDescent="0.25">
      <c r="B17" s="155" t="s">
        <v>401</v>
      </c>
      <c r="C17" s="189">
        <v>480</v>
      </c>
      <c r="E17" t="s">
        <v>425</v>
      </c>
    </row>
    <row r="18" spans="2:8" x14ac:dyDescent="0.25">
      <c r="B18" s="155" t="s">
        <v>402</v>
      </c>
      <c r="C18" s="190">
        <f>C16*C17</f>
        <v>0</v>
      </c>
      <c r="E18" s="146" t="s">
        <v>426</v>
      </c>
    </row>
    <row r="19" spans="2:8" x14ac:dyDescent="0.25">
      <c r="G19" t="s">
        <v>367</v>
      </c>
      <c r="H19">
        <f>4000-C13</f>
        <v>4000</v>
      </c>
    </row>
    <row r="21" spans="2:8" x14ac:dyDescent="0.25">
      <c r="B21" s="182" t="s">
        <v>389</v>
      </c>
      <c r="C21" s="182"/>
      <c r="E21" s="89" t="s">
        <v>371</v>
      </c>
    </row>
    <row r="22" spans="2:8" x14ac:dyDescent="0.25">
      <c r="B22" s="151" t="s">
        <v>355</v>
      </c>
      <c r="C22" s="154">
        <f>H10/H7/H22</f>
        <v>5.511463844797178</v>
      </c>
      <c r="E22" s="151" t="s">
        <v>374</v>
      </c>
      <c r="G22" t="s">
        <v>363</v>
      </c>
      <c r="H22">
        <v>15</v>
      </c>
    </row>
    <row r="23" spans="2:8" x14ac:dyDescent="0.25">
      <c r="C23" s="154"/>
      <c r="E23" s="152" t="s">
        <v>373</v>
      </c>
      <c r="G23" t="s">
        <v>364</v>
      </c>
      <c r="H23">
        <v>15</v>
      </c>
    </row>
    <row r="24" spans="2:8" x14ac:dyDescent="0.25">
      <c r="B24" s="151" t="s">
        <v>357</v>
      </c>
      <c r="C24" s="154">
        <f>H11/H7/H23</f>
        <v>7.0105820105820111</v>
      </c>
      <c r="E24" s="153" t="s">
        <v>372</v>
      </c>
    </row>
    <row r="25" spans="2:8" x14ac:dyDescent="0.25">
      <c r="C25" s="154"/>
    </row>
    <row r="26" spans="2:8" x14ac:dyDescent="0.25">
      <c r="B26" s="151" t="s">
        <v>356</v>
      </c>
      <c r="C26" s="154">
        <f>H12/H8/H26</f>
        <v>12.815884476534299</v>
      </c>
      <c r="G26" t="s">
        <v>365</v>
      </c>
      <c r="H26">
        <v>15</v>
      </c>
    </row>
    <row r="27" spans="2:8" x14ac:dyDescent="0.25">
      <c r="B27" s="152" t="s">
        <v>66</v>
      </c>
      <c r="C27" s="154">
        <f>C26</f>
        <v>12.815884476534299</v>
      </c>
      <c r="G27" t="s">
        <v>75</v>
      </c>
      <c r="H27">
        <v>7.5</v>
      </c>
    </row>
    <row r="28" spans="2:8" x14ac:dyDescent="0.25">
      <c r="B28" s="153" t="s">
        <v>392</v>
      </c>
      <c r="C28" s="154">
        <f>C27/2</f>
        <v>6.4079422382671494</v>
      </c>
      <c r="G28" t="s">
        <v>384</v>
      </c>
      <c r="H28">
        <v>15</v>
      </c>
    </row>
    <row r="29" spans="2:8" x14ac:dyDescent="0.25">
      <c r="C29" s="154"/>
    </row>
    <row r="30" spans="2:8" x14ac:dyDescent="0.25">
      <c r="B30" s="151" t="s">
        <v>82</v>
      </c>
      <c r="C30" s="154">
        <f>H13/H8/H30</f>
        <v>8.0224628961091078</v>
      </c>
      <c r="E30" s="89" t="s">
        <v>394</v>
      </c>
      <c r="G30" t="s">
        <v>378</v>
      </c>
      <c r="H30">
        <v>7.5</v>
      </c>
    </row>
    <row r="31" spans="2:8" x14ac:dyDescent="0.25">
      <c r="B31" s="152" t="s">
        <v>393</v>
      </c>
      <c r="C31" s="154">
        <f>C30/2</f>
        <v>4.0112314480545539</v>
      </c>
      <c r="E31" s="155" t="s">
        <v>405</v>
      </c>
      <c r="G31" t="s">
        <v>379</v>
      </c>
      <c r="H31">
        <v>15</v>
      </c>
    </row>
    <row r="32" spans="2:8" x14ac:dyDescent="0.25">
      <c r="C32" s="154"/>
      <c r="G32" t="s">
        <v>380</v>
      </c>
      <c r="H32">
        <v>15</v>
      </c>
    </row>
    <row r="33" spans="2:8" x14ac:dyDescent="0.25">
      <c r="B33" s="151" t="s">
        <v>368</v>
      </c>
      <c r="C33" s="154">
        <f>H19/H8/H32</f>
        <v>4.0112314480545539</v>
      </c>
      <c r="G33" t="s">
        <v>381</v>
      </c>
      <c r="H33">
        <v>15</v>
      </c>
    </row>
    <row r="34" spans="2:8" x14ac:dyDescent="0.25">
      <c r="B34" s="152" t="s">
        <v>369</v>
      </c>
      <c r="C34" s="154">
        <f>C33</f>
        <v>4.0112314480545539</v>
      </c>
      <c r="G34" t="s">
        <v>382</v>
      </c>
      <c r="H34">
        <v>15</v>
      </c>
    </row>
    <row r="35" spans="2:8" x14ac:dyDescent="0.25">
      <c r="B35" s="153" t="s">
        <v>370</v>
      </c>
      <c r="C35" s="154">
        <f>C34*2</f>
        <v>8.0224628961091078</v>
      </c>
      <c r="G35" t="s">
        <v>383</v>
      </c>
      <c r="H35">
        <v>30</v>
      </c>
    </row>
    <row r="36" spans="2:8" x14ac:dyDescent="0.25">
      <c r="B36" s="153" t="s">
        <v>65</v>
      </c>
      <c r="C36" s="154">
        <f>C34</f>
        <v>4.0112314480545539</v>
      </c>
      <c r="G36" t="s">
        <v>75</v>
      </c>
      <c r="H36">
        <v>7.5</v>
      </c>
    </row>
    <row r="37" spans="2:8" x14ac:dyDescent="0.25">
      <c r="B37" s="152" t="s">
        <v>66</v>
      </c>
      <c r="C37" s="154">
        <f>C33*2</f>
        <v>8.0224628961091078</v>
      </c>
      <c r="G37" t="s">
        <v>384</v>
      </c>
      <c r="H37">
        <v>15</v>
      </c>
    </row>
    <row r="38" spans="2:8" x14ac:dyDescent="0.25">
      <c r="B38" s="153" t="s">
        <v>392</v>
      </c>
      <c r="C38" s="154">
        <f>C37/2</f>
        <v>4.0112314480545539</v>
      </c>
    </row>
    <row r="39" spans="2:8" x14ac:dyDescent="0.25">
      <c r="C39" s="154"/>
    </row>
    <row r="40" spans="2:8" x14ac:dyDescent="0.25">
      <c r="C40" s="154"/>
    </row>
    <row r="41" spans="2:8" x14ac:dyDescent="0.25">
      <c r="C41" s="154"/>
    </row>
    <row r="42" spans="2:8" x14ac:dyDescent="0.25">
      <c r="C42" s="154"/>
    </row>
    <row r="43" spans="2:8" x14ac:dyDescent="0.25">
      <c r="C43" s="154"/>
    </row>
    <row r="44" spans="2:8" x14ac:dyDescent="0.25">
      <c r="C44" s="154"/>
    </row>
    <row r="45" spans="2:8" x14ac:dyDescent="0.25">
      <c r="C45" s="154"/>
    </row>
    <row r="46" spans="2:8" x14ac:dyDescent="0.25">
      <c r="C46" s="154"/>
    </row>
    <row r="47" spans="2:8" x14ac:dyDescent="0.25">
      <c r="C47" s="154"/>
    </row>
    <row r="48" spans="2:8" x14ac:dyDescent="0.25">
      <c r="C48" s="154"/>
    </row>
    <row r="49" spans="3:3" x14ac:dyDescent="0.25">
      <c r="C49" s="154"/>
    </row>
    <row r="50" spans="3:3" x14ac:dyDescent="0.25">
      <c r="C50" s="154"/>
    </row>
    <row r="51" spans="3:3" x14ac:dyDescent="0.25">
      <c r="C51" s="154"/>
    </row>
    <row r="52" spans="3:3" x14ac:dyDescent="0.25">
      <c r="C52" s="154"/>
    </row>
    <row r="53" spans="3:3" x14ac:dyDescent="0.25">
      <c r="C53" s="154"/>
    </row>
    <row r="54" spans="3:3" x14ac:dyDescent="0.25">
      <c r="C54" s="154"/>
    </row>
  </sheetData>
  <mergeCells count="1">
    <mergeCell ref="B21:C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BB722-F3E2-4A6A-B578-533C66125137}">
  <dimension ref="B2:O38"/>
  <sheetViews>
    <sheetView topLeftCell="A3" workbookViewId="0">
      <selection activeCell="H23" sqref="H23"/>
    </sheetView>
  </sheetViews>
  <sheetFormatPr defaultRowHeight="15" x14ac:dyDescent="0.25"/>
  <cols>
    <col min="1" max="1" width="9.140625" style="1"/>
    <col min="2" max="2" width="25.85546875" style="1" bestFit="1" customWidth="1"/>
    <col min="3" max="4" width="9.140625" style="1"/>
    <col min="5" max="5" width="12.42578125" style="1" bestFit="1" customWidth="1"/>
    <col min="6" max="6" width="19.140625" style="1" customWidth="1"/>
    <col min="7" max="7" width="9.140625" style="1"/>
    <col min="8" max="8" width="24.7109375" style="1" customWidth="1"/>
    <col min="9" max="9" width="10" style="1" bestFit="1" customWidth="1"/>
    <col min="10" max="10" width="13.42578125" style="1" bestFit="1" customWidth="1"/>
    <col min="11" max="11" width="19.28515625" style="1" customWidth="1"/>
    <col min="12" max="13" width="9.140625" style="1"/>
    <col min="14" max="14" width="0" style="1" hidden="1" customWidth="1"/>
    <col min="15" max="15" width="25.85546875" style="1" hidden="1" customWidth="1"/>
    <col min="16" max="16384" width="9.140625" style="1"/>
  </cols>
  <sheetData>
    <row r="2" spans="2:15" x14ac:dyDescent="0.25">
      <c r="O2" s="1" t="s">
        <v>172</v>
      </c>
    </row>
    <row r="3" spans="2:15" ht="15.75" thickBot="1" x14ac:dyDescent="0.3">
      <c r="B3" s="185" t="s">
        <v>319</v>
      </c>
      <c r="C3" s="185"/>
      <c r="D3" s="185"/>
      <c r="H3" s="185" t="s">
        <v>320</v>
      </c>
      <c r="I3" s="185"/>
      <c r="J3" s="185"/>
      <c r="K3" s="185"/>
      <c r="L3" s="185"/>
      <c r="O3" s="12" t="s">
        <v>55</v>
      </c>
    </row>
    <row r="4" spans="2:15" x14ac:dyDescent="0.25">
      <c r="B4" s="47" t="s">
        <v>53</v>
      </c>
      <c r="C4" s="48">
        <f>C5/2</f>
        <v>0</v>
      </c>
      <c r="D4" s="48"/>
      <c r="E4" s="48" t="s">
        <v>33</v>
      </c>
      <c r="F4" s="49"/>
      <c r="H4" s="47" t="s">
        <v>62</v>
      </c>
      <c r="I4" s="48">
        <f>((F4*O17)+(F5*O20)+(F6*O23)+(F7*O26)+(F8*O29)+(F9*O32)+(F10*O35)+(F11*O38))</f>
        <v>0</v>
      </c>
      <c r="J4" s="48"/>
      <c r="K4" s="48"/>
      <c r="L4" s="59"/>
    </row>
    <row r="5" spans="2:15" x14ac:dyDescent="0.25">
      <c r="B5" s="50" t="s">
        <v>54</v>
      </c>
      <c r="C5" s="51">
        <f>(((F4*O17)+(F5*O20)+(F6*O23)+(F7*O26)+(F8*O29)+(F9*O32)+(F10*O35)+(F11*O38))/O9)</f>
        <v>0</v>
      </c>
      <c r="D5" s="51"/>
      <c r="E5" s="51" t="s">
        <v>57</v>
      </c>
      <c r="F5" s="52"/>
      <c r="H5" s="53"/>
      <c r="I5" s="51"/>
      <c r="J5" s="183" t="s">
        <v>86</v>
      </c>
      <c r="K5" s="183"/>
      <c r="L5" s="184"/>
      <c r="O5" s="1" t="s">
        <v>52</v>
      </c>
    </row>
    <row r="6" spans="2:15" x14ac:dyDescent="0.25">
      <c r="B6" s="53"/>
      <c r="C6" s="51"/>
      <c r="D6" s="51"/>
      <c r="E6" s="51" t="s">
        <v>60</v>
      </c>
      <c r="F6" s="52"/>
      <c r="H6" s="60" t="s">
        <v>63</v>
      </c>
      <c r="I6" s="51"/>
      <c r="J6" s="61" t="s">
        <v>67</v>
      </c>
      <c r="K6" s="51"/>
      <c r="L6" s="54"/>
      <c r="O6" s="1">
        <v>30</v>
      </c>
    </row>
    <row r="7" spans="2:15" x14ac:dyDescent="0.25">
      <c r="B7" s="53"/>
      <c r="C7" s="51"/>
      <c r="D7" s="51"/>
      <c r="E7" s="51" t="s">
        <v>59</v>
      </c>
      <c r="F7" s="52"/>
      <c r="H7" s="126" t="s">
        <v>65</v>
      </c>
      <c r="I7" s="127"/>
      <c r="J7" s="128" t="s">
        <v>64</v>
      </c>
      <c r="K7" s="128">
        <f>(I4-(I7*O6))/O9</f>
        <v>0</v>
      </c>
      <c r="L7" s="129"/>
    </row>
    <row r="8" spans="2:15" ht="15.75" thickBot="1" x14ac:dyDescent="0.3">
      <c r="B8" s="53"/>
      <c r="C8" s="51"/>
      <c r="D8" s="51"/>
      <c r="E8" s="51" t="s">
        <v>148</v>
      </c>
      <c r="F8" s="52"/>
      <c r="H8" s="55" t="s">
        <v>64</v>
      </c>
      <c r="I8" s="57"/>
      <c r="J8" s="56" t="s">
        <v>65</v>
      </c>
      <c r="K8" s="56">
        <f>(I4-(I8*O9))/O6</f>
        <v>0</v>
      </c>
      <c r="L8" s="58"/>
      <c r="O8" s="1" t="s">
        <v>51</v>
      </c>
    </row>
    <row r="9" spans="2:15" x14ac:dyDescent="0.25">
      <c r="B9" s="53"/>
      <c r="C9" s="51"/>
      <c r="D9" s="51"/>
      <c r="E9" s="51" t="s">
        <v>149</v>
      </c>
      <c r="F9" s="52"/>
      <c r="O9" s="1">
        <v>15</v>
      </c>
    </row>
    <row r="10" spans="2:15" x14ac:dyDescent="0.25">
      <c r="B10" s="53"/>
      <c r="C10" s="51"/>
      <c r="D10" s="51"/>
      <c r="E10" s="51" t="s">
        <v>150</v>
      </c>
      <c r="F10" s="52"/>
    </row>
    <row r="11" spans="2:15" x14ac:dyDescent="0.25">
      <c r="B11" s="53"/>
      <c r="C11" s="51"/>
      <c r="D11" s="51"/>
      <c r="E11" s="51" t="s">
        <v>151</v>
      </c>
      <c r="F11" s="52"/>
      <c r="O11" s="1" t="s">
        <v>165</v>
      </c>
    </row>
    <row r="12" spans="2:15" x14ac:dyDescent="0.25">
      <c r="B12" s="53"/>
      <c r="C12" s="51"/>
      <c r="D12" s="51"/>
      <c r="E12" s="51"/>
      <c r="F12" s="54"/>
      <c r="O12" s="1">
        <v>30</v>
      </c>
    </row>
    <row r="13" spans="2:15" x14ac:dyDescent="0.25">
      <c r="B13" s="53"/>
      <c r="C13" s="51"/>
      <c r="D13" s="51"/>
      <c r="E13" s="51"/>
      <c r="F13" s="54"/>
      <c r="G13" s="1" t="s">
        <v>315</v>
      </c>
    </row>
    <row r="14" spans="2:15" x14ac:dyDescent="0.25">
      <c r="B14" s="53"/>
      <c r="C14" s="51"/>
      <c r="D14" s="51"/>
      <c r="E14" s="51" t="s">
        <v>164</v>
      </c>
      <c r="F14" s="54" t="s">
        <v>318</v>
      </c>
      <c r="O14" s="12" t="s">
        <v>56</v>
      </c>
    </row>
    <row r="15" spans="2:15" ht="15.75" thickBot="1" x14ac:dyDescent="0.3">
      <c r="B15" s="55"/>
      <c r="C15" s="56"/>
      <c r="D15" s="56"/>
      <c r="E15" s="57"/>
      <c r="F15" s="58">
        <f>E15*2</f>
        <v>0</v>
      </c>
    </row>
    <row r="16" spans="2:15" x14ac:dyDescent="0.25">
      <c r="O16" s="1" t="s">
        <v>33</v>
      </c>
    </row>
    <row r="17" spans="15:15" x14ac:dyDescent="0.25">
      <c r="O17" s="1">
        <v>3.75</v>
      </c>
    </row>
    <row r="19" spans="15:15" x14ac:dyDescent="0.25">
      <c r="O19" s="1" t="s">
        <v>57</v>
      </c>
    </row>
    <row r="20" spans="15:15" x14ac:dyDescent="0.25">
      <c r="O20" s="1">
        <v>3.75</v>
      </c>
    </row>
    <row r="22" spans="15:15" x14ac:dyDescent="0.25">
      <c r="O22" s="1" t="s">
        <v>58</v>
      </c>
    </row>
    <row r="23" spans="15:15" x14ac:dyDescent="0.25">
      <c r="O23" s="1">
        <v>3.75</v>
      </c>
    </row>
    <row r="25" spans="15:15" x14ac:dyDescent="0.25">
      <c r="O25" s="1" t="s">
        <v>59</v>
      </c>
    </row>
    <row r="26" spans="15:15" x14ac:dyDescent="0.25">
      <c r="O26" s="1">
        <v>3.75</v>
      </c>
    </row>
    <row r="28" spans="15:15" x14ac:dyDescent="0.25">
      <c r="O28" s="1" t="s">
        <v>148</v>
      </c>
    </row>
    <row r="29" spans="15:15" x14ac:dyDescent="0.25">
      <c r="O29" s="1">
        <v>30</v>
      </c>
    </row>
    <row r="31" spans="15:15" x14ac:dyDescent="0.25">
      <c r="O31" s="1" t="s">
        <v>149</v>
      </c>
    </row>
    <row r="32" spans="15:15" x14ac:dyDescent="0.25">
      <c r="O32" s="1">
        <v>15</v>
      </c>
    </row>
    <row r="34" spans="15:15" x14ac:dyDescent="0.25">
      <c r="O34" s="1" t="s">
        <v>150</v>
      </c>
    </row>
    <row r="35" spans="15:15" x14ac:dyDescent="0.25">
      <c r="O35" s="1">
        <v>15</v>
      </c>
    </row>
    <row r="37" spans="15:15" x14ac:dyDescent="0.25">
      <c r="O37" s="1" t="s">
        <v>151</v>
      </c>
    </row>
    <row r="38" spans="15:15" x14ac:dyDescent="0.25">
      <c r="O38" s="1">
        <v>3.75</v>
      </c>
    </row>
  </sheetData>
  <mergeCells count="3">
    <mergeCell ref="J5:L5"/>
    <mergeCell ref="B3:D3"/>
    <mergeCell ref="H3:L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3ECCD-E924-4993-B372-02FB69264364}">
  <dimension ref="C3:M28"/>
  <sheetViews>
    <sheetView workbookViewId="0">
      <selection activeCell="O18" sqref="O18"/>
    </sheetView>
  </sheetViews>
  <sheetFormatPr defaultRowHeight="15" x14ac:dyDescent="0.25"/>
  <cols>
    <col min="1" max="2" width="9.140625" style="1"/>
    <col min="3" max="3" width="24.42578125" style="1" bestFit="1" customWidth="1"/>
    <col min="4" max="6" width="9.140625" style="1"/>
    <col min="7" max="7" width="22.5703125" style="1" bestFit="1" customWidth="1"/>
    <col min="8" max="12" width="9.140625" style="1"/>
    <col min="13" max="13" width="19" style="1" bestFit="1" customWidth="1"/>
    <col min="14" max="16384" width="9.140625" style="1"/>
  </cols>
  <sheetData>
    <row r="3" spans="3:13" ht="15.75" thickBot="1" x14ac:dyDescent="0.3">
      <c r="C3" s="13" t="s">
        <v>167</v>
      </c>
    </row>
    <row r="4" spans="3:13" ht="15.75" thickBot="1" x14ac:dyDescent="0.3">
      <c r="C4" s="69" t="s">
        <v>66</v>
      </c>
      <c r="D4" s="70"/>
      <c r="E4" s="48"/>
      <c r="F4" s="48"/>
      <c r="G4" s="48" t="s">
        <v>75</v>
      </c>
      <c r="H4" s="59">
        <f>D4*M7</f>
        <v>0</v>
      </c>
      <c r="M4" s="1" t="s">
        <v>152</v>
      </c>
    </row>
    <row r="5" spans="3:13" x14ac:dyDescent="0.25">
      <c r="C5" s="53"/>
      <c r="D5" s="51"/>
      <c r="E5" s="51"/>
      <c r="F5" s="51"/>
      <c r="G5" s="51"/>
      <c r="H5" s="54"/>
    </row>
    <row r="6" spans="3:13" x14ac:dyDescent="0.25">
      <c r="C6" s="60"/>
      <c r="D6" s="61" t="s">
        <v>63</v>
      </c>
      <c r="E6" s="61" t="s">
        <v>78</v>
      </c>
      <c r="F6" s="51"/>
      <c r="G6" s="61" t="s">
        <v>67</v>
      </c>
      <c r="H6" s="54"/>
      <c r="M6" s="1" t="s">
        <v>103</v>
      </c>
    </row>
    <row r="7" spans="3:13" x14ac:dyDescent="0.25">
      <c r="C7" s="62" t="s">
        <v>70</v>
      </c>
      <c r="D7" s="71"/>
      <c r="E7" s="68">
        <f>H8-D7</f>
        <v>0</v>
      </c>
      <c r="F7" s="61"/>
      <c r="G7" s="51" t="s">
        <v>71</v>
      </c>
      <c r="H7" s="54">
        <f>((D4*M7)-(D7*M10))/M13</f>
        <v>0</v>
      </c>
      <c r="M7" s="1">
        <v>7.5</v>
      </c>
    </row>
    <row r="8" spans="3:13" x14ac:dyDescent="0.25">
      <c r="C8" s="53" t="s">
        <v>71</v>
      </c>
      <c r="D8" s="71"/>
      <c r="E8" s="51">
        <f>H7-D8</f>
        <v>0</v>
      </c>
      <c r="F8" s="51"/>
      <c r="G8" s="68" t="s">
        <v>70</v>
      </c>
      <c r="H8" s="54">
        <f>((D4*M7)-(D8*M13))/M10</f>
        <v>0</v>
      </c>
    </row>
    <row r="9" spans="3:13" x14ac:dyDescent="0.25">
      <c r="C9" s="53"/>
      <c r="D9" s="51"/>
      <c r="E9" s="51"/>
      <c r="F9" s="51"/>
      <c r="G9" s="51"/>
      <c r="H9" s="54"/>
      <c r="M9" s="1" t="s">
        <v>68</v>
      </c>
    </row>
    <row r="10" spans="3:13" x14ac:dyDescent="0.25">
      <c r="C10" s="53"/>
      <c r="D10" s="51"/>
      <c r="E10" s="51"/>
      <c r="F10" s="51"/>
      <c r="G10" s="51"/>
      <c r="H10" s="54"/>
      <c r="M10" s="1">
        <v>7.5</v>
      </c>
    </row>
    <row r="11" spans="3:13" x14ac:dyDescent="0.25">
      <c r="C11" s="53"/>
      <c r="D11" s="61" t="s">
        <v>72</v>
      </c>
      <c r="E11" s="51"/>
      <c r="F11" s="51"/>
      <c r="G11" s="61" t="s">
        <v>77</v>
      </c>
      <c r="H11" s="54"/>
    </row>
    <row r="12" spans="3:13" x14ac:dyDescent="0.25">
      <c r="C12" s="62" t="s">
        <v>73</v>
      </c>
      <c r="D12" s="51">
        <f>(M10/M16)*D7</f>
        <v>0</v>
      </c>
      <c r="E12" s="51"/>
      <c r="F12" s="51"/>
      <c r="G12" s="51">
        <f>D12*6</f>
        <v>0</v>
      </c>
      <c r="H12" s="54"/>
      <c r="M12" s="1" t="s">
        <v>69</v>
      </c>
    </row>
    <row r="13" spans="3:13" x14ac:dyDescent="0.25">
      <c r="C13" s="53" t="s">
        <v>74</v>
      </c>
      <c r="D13" s="51">
        <f>(M13/M16)*D8</f>
        <v>0</v>
      </c>
      <c r="E13" s="51"/>
      <c r="F13" s="51"/>
      <c r="G13" s="51">
        <f>D13*6</f>
        <v>0</v>
      </c>
      <c r="H13" s="54"/>
      <c r="M13" s="1">
        <v>15</v>
      </c>
    </row>
    <row r="14" spans="3:13" ht="15.75" thickBot="1" x14ac:dyDescent="0.3">
      <c r="C14" s="55" t="s">
        <v>166</v>
      </c>
      <c r="D14" s="56">
        <f>(D12+D13)*6</f>
        <v>0</v>
      </c>
      <c r="E14" s="56"/>
      <c r="F14" s="56"/>
      <c r="G14" s="56"/>
      <c r="H14" s="58"/>
    </row>
    <row r="15" spans="3:13" x14ac:dyDescent="0.25">
      <c r="M15" s="1" t="s">
        <v>76</v>
      </c>
    </row>
    <row r="16" spans="3:13" x14ac:dyDescent="0.25">
      <c r="M16" s="1">
        <v>6</v>
      </c>
    </row>
    <row r="17" spans="3:13" ht="15.75" thickBot="1" x14ac:dyDescent="0.3">
      <c r="C17" s="13" t="s">
        <v>180</v>
      </c>
    </row>
    <row r="18" spans="3:13" ht="15.75" thickBot="1" x14ac:dyDescent="0.3">
      <c r="C18" s="69" t="s">
        <v>155</v>
      </c>
      <c r="D18" s="70">
        <v>3</v>
      </c>
      <c r="E18" s="48"/>
      <c r="F18" s="48"/>
      <c r="G18" s="48" t="s">
        <v>160</v>
      </c>
      <c r="H18" s="59">
        <f>D18*M19</f>
        <v>45</v>
      </c>
      <c r="M18" s="1" t="s">
        <v>153</v>
      </c>
    </row>
    <row r="19" spans="3:13" x14ac:dyDescent="0.25">
      <c r="C19" s="53"/>
      <c r="D19" s="51"/>
      <c r="E19" s="51"/>
      <c r="F19" s="51"/>
      <c r="G19" s="51" t="s">
        <v>162</v>
      </c>
      <c r="H19" s="54">
        <f>D18*M22*2</f>
        <v>45</v>
      </c>
      <c r="M19" s="1">
        <v>15</v>
      </c>
    </row>
    <row r="20" spans="3:13" x14ac:dyDescent="0.25">
      <c r="C20" s="53" t="s">
        <v>156</v>
      </c>
      <c r="D20" s="51">
        <f>H18/M22</f>
        <v>6</v>
      </c>
      <c r="E20" s="51"/>
      <c r="F20" s="51"/>
      <c r="G20" s="51" t="s">
        <v>163</v>
      </c>
      <c r="H20" s="54">
        <f>D18*M25*2</f>
        <v>45</v>
      </c>
    </row>
    <row r="21" spans="3:13" x14ac:dyDescent="0.25">
      <c r="C21" s="53" t="s">
        <v>157</v>
      </c>
      <c r="D21" s="51">
        <f>H18/M25</f>
        <v>6</v>
      </c>
      <c r="E21" s="51"/>
      <c r="F21" s="51"/>
      <c r="G21" s="51" t="s">
        <v>335</v>
      </c>
      <c r="H21" s="54">
        <f>H20</f>
        <v>45</v>
      </c>
      <c r="M21" s="1" t="s">
        <v>154</v>
      </c>
    </row>
    <row r="22" spans="3:13" ht="15.75" thickBot="1" x14ac:dyDescent="0.3">
      <c r="C22" s="55" t="s">
        <v>158</v>
      </c>
      <c r="D22" s="56">
        <f>D21*M25/M28</f>
        <v>7.5</v>
      </c>
      <c r="E22" s="56"/>
      <c r="F22" s="56"/>
      <c r="G22" s="56"/>
      <c r="H22" s="58"/>
      <c r="M22" s="1">
        <v>7.5</v>
      </c>
    </row>
    <row r="24" spans="3:13" x14ac:dyDescent="0.25">
      <c r="M24" s="1" t="s">
        <v>159</v>
      </c>
    </row>
    <row r="25" spans="3:13" x14ac:dyDescent="0.25">
      <c r="M25" s="1">
        <v>7.5</v>
      </c>
    </row>
    <row r="27" spans="3:13" x14ac:dyDescent="0.25">
      <c r="M27" s="1" t="s">
        <v>161</v>
      </c>
    </row>
    <row r="28" spans="3:13" x14ac:dyDescent="0.25">
      <c r="M28" s="1">
        <v>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B2233-AFDB-422F-841F-A3503D290DC4}">
  <dimension ref="B2:J31"/>
  <sheetViews>
    <sheetView workbookViewId="0">
      <selection activeCell="I18" sqref="I18"/>
    </sheetView>
  </sheetViews>
  <sheetFormatPr defaultRowHeight="15" x14ac:dyDescent="0.25"/>
  <cols>
    <col min="2" max="2" width="15.7109375" customWidth="1"/>
    <col min="3" max="3" width="17.85546875" bestFit="1" customWidth="1"/>
    <col min="4" max="4" width="28.140625" bestFit="1" customWidth="1"/>
    <col min="5" max="5" width="28.140625" customWidth="1"/>
    <col min="6" max="6" width="15.7109375" customWidth="1"/>
    <col min="7" max="7" width="18" bestFit="1" customWidth="1"/>
    <col min="8" max="8" width="17.85546875" bestFit="1" customWidth="1"/>
    <col min="9" max="9" width="28.140625" bestFit="1" customWidth="1"/>
    <col min="10" max="10" width="28.5703125" bestFit="1" customWidth="1"/>
  </cols>
  <sheetData>
    <row r="2" spans="2:10" x14ac:dyDescent="0.25">
      <c r="B2" s="146" t="s">
        <v>346</v>
      </c>
    </row>
    <row r="4" spans="2:10" x14ac:dyDescent="0.25">
      <c r="B4" s="143" t="s">
        <v>42</v>
      </c>
      <c r="C4" s="162"/>
      <c r="D4" s="172"/>
      <c r="E4" s="163"/>
      <c r="F4" s="120"/>
      <c r="G4" s="143" t="s">
        <v>314</v>
      </c>
      <c r="H4" s="132"/>
      <c r="I4" s="142"/>
      <c r="J4" s="133"/>
    </row>
    <row r="5" spans="2:10" x14ac:dyDescent="0.25">
      <c r="B5" s="137"/>
      <c r="C5" s="138" t="s">
        <v>171</v>
      </c>
      <c r="D5" s="46" t="s">
        <v>323</v>
      </c>
      <c r="E5" s="46" t="s">
        <v>327</v>
      </c>
      <c r="F5" s="120"/>
      <c r="G5" s="137"/>
      <c r="H5" s="132" t="s">
        <v>171</v>
      </c>
      <c r="I5" s="46" t="s">
        <v>323</v>
      </c>
      <c r="J5" s="46" t="s">
        <v>327</v>
      </c>
    </row>
    <row r="6" spans="2:10" x14ac:dyDescent="0.25">
      <c r="B6" s="74" t="s">
        <v>182</v>
      </c>
      <c r="C6" s="75">
        <v>28.8</v>
      </c>
      <c r="D6" s="134">
        <f>60/C6</f>
        <v>2.0833333333333335</v>
      </c>
      <c r="E6" s="139">
        <f>50/C6</f>
        <v>1.7361111111111112</v>
      </c>
      <c r="F6" s="120"/>
      <c r="G6" s="74" t="s">
        <v>182</v>
      </c>
      <c r="H6" s="75">
        <v>55.4</v>
      </c>
      <c r="I6" s="134">
        <f>60/H6</f>
        <v>1.0830324909747293</v>
      </c>
      <c r="J6" s="139">
        <f>50/H6</f>
        <v>0.90252707581227443</v>
      </c>
    </row>
    <row r="7" spans="2:10" x14ac:dyDescent="0.25">
      <c r="B7" s="46" t="s">
        <v>43</v>
      </c>
      <c r="C7" s="63">
        <v>41.5</v>
      </c>
      <c r="D7" s="135">
        <f>90/C7</f>
        <v>2.1686746987951806</v>
      </c>
      <c r="E7" s="135">
        <f>150/C7</f>
        <v>3.6144578313253013</v>
      </c>
      <c r="F7" s="120"/>
      <c r="G7" s="46" t="s">
        <v>43</v>
      </c>
      <c r="H7" s="63">
        <v>77.099999999999994</v>
      </c>
      <c r="I7" s="135">
        <f>90/H7</f>
        <v>1.1673151750972763</v>
      </c>
      <c r="J7" s="139">
        <f>150/H7</f>
        <v>1.945525291828794</v>
      </c>
    </row>
    <row r="8" spans="2:10" x14ac:dyDescent="0.25">
      <c r="B8" s="46" t="s">
        <v>44</v>
      </c>
      <c r="C8" s="63">
        <v>86.4</v>
      </c>
      <c r="D8" s="135">
        <f>500/C8</f>
        <v>5.7870370370370363</v>
      </c>
      <c r="E8" s="135">
        <f>50/C8</f>
        <v>0.57870370370370372</v>
      </c>
      <c r="F8" s="120"/>
      <c r="G8" s="46" t="s">
        <v>44</v>
      </c>
      <c r="H8" s="63">
        <v>166.2</v>
      </c>
      <c r="I8" s="135">
        <f>500/H8</f>
        <v>3.008423586040915</v>
      </c>
      <c r="J8" s="139">
        <f>50/H8</f>
        <v>0.30084235860409148</v>
      </c>
    </row>
    <row r="9" spans="2:10" x14ac:dyDescent="0.25">
      <c r="B9" s="46" t="s">
        <v>45</v>
      </c>
      <c r="C9" s="63">
        <v>120</v>
      </c>
      <c r="D9" s="135">
        <f>750/C9</f>
        <v>6.25</v>
      </c>
      <c r="E9" s="135">
        <f>150/C9</f>
        <v>1.25</v>
      </c>
      <c r="F9" s="120" t="s">
        <v>188</v>
      </c>
      <c r="G9" s="46" t="s">
        <v>45</v>
      </c>
      <c r="H9" s="63">
        <v>216</v>
      </c>
      <c r="I9" s="135">
        <f>750/H9</f>
        <v>3.4722222222222223</v>
      </c>
      <c r="J9" s="139">
        <f>150/H9</f>
        <v>0.69444444444444442</v>
      </c>
    </row>
    <row r="10" spans="2:10" x14ac:dyDescent="0.25">
      <c r="B10" s="46" t="s">
        <v>46</v>
      </c>
      <c r="C10" s="63">
        <v>259.2</v>
      </c>
      <c r="D10" s="135">
        <f>4000/C10</f>
        <v>15.4320987654321</v>
      </c>
      <c r="E10" s="135">
        <f>200/C10</f>
        <v>0.77160493827160492</v>
      </c>
      <c r="F10" s="120"/>
      <c r="G10" s="46" t="s">
        <v>46</v>
      </c>
      <c r="H10" s="63">
        <v>498.5</v>
      </c>
      <c r="I10" s="135">
        <f>4000/H10</f>
        <v>8.0240722166499499</v>
      </c>
      <c r="J10" s="139">
        <f>200/H10</f>
        <v>0.4012036108324975</v>
      </c>
    </row>
    <row r="11" spans="2:10" x14ac:dyDescent="0.25">
      <c r="B11" s="46" t="s">
        <v>47</v>
      </c>
      <c r="C11" s="63">
        <v>342.9</v>
      </c>
      <c r="D11" s="135">
        <f>6000/C11</f>
        <v>17.497812773403325</v>
      </c>
      <c r="E11" s="135">
        <f>600/C11</f>
        <v>1.7497812773403325</v>
      </c>
      <c r="F11" s="120"/>
      <c r="G11" s="46" t="s">
        <v>47</v>
      </c>
      <c r="H11" s="63">
        <v>600</v>
      </c>
      <c r="I11" s="135">
        <f>6000/H11</f>
        <v>10</v>
      </c>
      <c r="J11" s="139">
        <f>600/H11</f>
        <v>1</v>
      </c>
    </row>
    <row r="12" spans="2:10" x14ac:dyDescent="0.25">
      <c r="B12" s="46" t="s">
        <v>48</v>
      </c>
      <c r="C12" s="63">
        <v>777.6</v>
      </c>
      <c r="D12" s="135">
        <f>20000/C12</f>
        <v>25.720164609053498</v>
      </c>
      <c r="E12" s="135">
        <f>600/C12</f>
        <v>0.77160493827160492</v>
      </c>
      <c r="F12" s="120"/>
      <c r="G12" s="46" t="s">
        <v>48</v>
      </c>
      <c r="H12" s="63">
        <v>1495.4</v>
      </c>
      <c r="I12" s="135">
        <f>20000/H12</f>
        <v>13.374348000534972</v>
      </c>
      <c r="J12" s="139">
        <f>600/H12</f>
        <v>0.40123044001604918</v>
      </c>
    </row>
    <row r="13" spans="2:10" x14ac:dyDescent="0.25">
      <c r="B13" s="46" t="s">
        <v>49</v>
      </c>
      <c r="C13" s="63">
        <v>1034.5</v>
      </c>
      <c r="D13" s="135">
        <f>30000/C13</f>
        <v>28.999516674722088</v>
      </c>
      <c r="E13" s="135">
        <f>1800/C13</f>
        <v>1.7399710004833253</v>
      </c>
      <c r="F13" s="120"/>
      <c r="G13" s="46" t="s">
        <v>49</v>
      </c>
      <c r="H13" s="63">
        <v>1764.7</v>
      </c>
      <c r="I13" s="135">
        <f>30000/H13</f>
        <v>17.000056666855556</v>
      </c>
      <c r="J13" s="139">
        <f>1800/H13</f>
        <v>1.0200034000113334</v>
      </c>
    </row>
    <row r="14" spans="2:10" x14ac:dyDescent="0.25">
      <c r="B14" s="1"/>
      <c r="C14" s="1"/>
      <c r="D14" s="131"/>
      <c r="E14" s="131"/>
      <c r="F14" s="27"/>
      <c r="G14" s="131"/>
      <c r="H14" s="131"/>
      <c r="I14" s="131"/>
    </row>
    <row r="15" spans="2:10" x14ac:dyDescent="0.25">
      <c r="B15" s="140" t="s">
        <v>252</v>
      </c>
    </row>
    <row r="16" spans="2:10" x14ac:dyDescent="0.25">
      <c r="B16" s="141" t="s">
        <v>328</v>
      </c>
    </row>
    <row r="17" spans="2:5" x14ac:dyDescent="0.25">
      <c r="B17" s="141" t="s">
        <v>329</v>
      </c>
    </row>
    <row r="18" spans="2:5" x14ac:dyDescent="0.25">
      <c r="B18" s="141" t="s">
        <v>330</v>
      </c>
    </row>
    <row r="19" spans="2:5" x14ac:dyDescent="0.25">
      <c r="B19" s="141" t="s">
        <v>334</v>
      </c>
    </row>
    <row r="21" spans="2:5" x14ac:dyDescent="0.25">
      <c r="B21" s="186" t="s">
        <v>331</v>
      </c>
      <c r="C21" s="186"/>
    </row>
    <row r="22" spans="2:5" x14ac:dyDescent="0.25">
      <c r="B22" s="137"/>
      <c r="C22" s="138" t="s">
        <v>171</v>
      </c>
      <c r="D22" s="46" t="s">
        <v>332</v>
      </c>
      <c r="E22" s="46" t="s">
        <v>333</v>
      </c>
    </row>
    <row r="23" spans="2:5" x14ac:dyDescent="0.25">
      <c r="B23" s="74" t="s">
        <v>182</v>
      </c>
      <c r="C23" s="75">
        <v>28.8</v>
      </c>
      <c r="D23" s="75">
        <v>55.4</v>
      </c>
      <c r="E23" s="144">
        <f t="shared" ref="E23:E31" si="0">D23/C23</f>
        <v>1.9236111111111109</v>
      </c>
    </row>
    <row r="24" spans="2:5" x14ac:dyDescent="0.25">
      <c r="B24" s="46" t="s">
        <v>43</v>
      </c>
      <c r="C24" s="63">
        <v>41.5</v>
      </c>
      <c r="D24" s="63">
        <v>77.099999999999994</v>
      </c>
      <c r="E24" s="145">
        <f t="shared" si="0"/>
        <v>1.8578313253012047</v>
      </c>
    </row>
    <row r="25" spans="2:5" x14ac:dyDescent="0.25">
      <c r="B25" s="46" t="s">
        <v>44</v>
      </c>
      <c r="C25" s="63">
        <v>86.4</v>
      </c>
      <c r="D25" s="63">
        <v>166.2</v>
      </c>
      <c r="E25" s="145">
        <f t="shared" si="0"/>
        <v>1.9236111111111109</v>
      </c>
    </row>
    <row r="26" spans="2:5" x14ac:dyDescent="0.25">
      <c r="B26" s="46" t="s">
        <v>45</v>
      </c>
      <c r="C26" s="63">
        <v>120</v>
      </c>
      <c r="D26" s="63">
        <v>216</v>
      </c>
      <c r="E26" s="145">
        <f t="shared" si="0"/>
        <v>1.8</v>
      </c>
    </row>
    <row r="27" spans="2:5" x14ac:dyDescent="0.25">
      <c r="B27" s="46" t="s">
        <v>46</v>
      </c>
      <c r="C27" s="63">
        <v>259.2</v>
      </c>
      <c r="D27" s="63">
        <v>498.5</v>
      </c>
      <c r="E27" s="145">
        <f t="shared" si="0"/>
        <v>1.9232253086419755</v>
      </c>
    </row>
    <row r="28" spans="2:5" x14ac:dyDescent="0.25">
      <c r="B28" s="46" t="s">
        <v>47</v>
      </c>
      <c r="C28" s="63">
        <v>342.9</v>
      </c>
      <c r="D28" s="63">
        <v>600</v>
      </c>
      <c r="E28" s="145">
        <f t="shared" si="0"/>
        <v>1.7497812773403325</v>
      </c>
    </row>
    <row r="29" spans="2:5" x14ac:dyDescent="0.25">
      <c r="B29" s="46" t="s">
        <v>48</v>
      </c>
      <c r="C29" s="63">
        <v>777.6</v>
      </c>
      <c r="D29" s="63">
        <v>1495.4</v>
      </c>
      <c r="E29" s="145">
        <f t="shared" si="0"/>
        <v>1.9230967078189301</v>
      </c>
    </row>
    <row r="30" spans="2:5" x14ac:dyDescent="0.25">
      <c r="B30" s="46" t="s">
        <v>49</v>
      </c>
      <c r="C30" s="63">
        <v>1034.5</v>
      </c>
      <c r="D30" s="63">
        <v>1764.7</v>
      </c>
      <c r="E30" s="145">
        <f t="shared" si="0"/>
        <v>1.7058482358627356</v>
      </c>
    </row>
    <row r="31" spans="2:5" x14ac:dyDescent="0.25">
      <c r="B31" s="149" t="s">
        <v>185</v>
      </c>
      <c r="C31" s="63">
        <v>18000</v>
      </c>
      <c r="D31" s="63">
        <v>28800</v>
      </c>
      <c r="E31" s="144">
        <f t="shared" si="0"/>
        <v>1.6</v>
      </c>
    </row>
  </sheetData>
  <mergeCells count="2">
    <mergeCell ref="C4:E4"/>
    <mergeCell ref="B21:C21"/>
  </mergeCells>
  <pageMargins left="0.7" right="0.7" top="0.75" bottom="0.75" header="0.3" footer="0.3"/>
  <pageSetup orientation="portrait" r:id="rId1"/>
  <ignoredErrors>
    <ignoredError sqref="E7:E8 J7:J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EE6FA-02C3-45C7-8EAD-3E20B794D310}">
  <dimension ref="B2:F34"/>
  <sheetViews>
    <sheetView workbookViewId="0">
      <selection activeCell="F12" sqref="F12"/>
    </sheetView>
  </sheetViews>
  <sheetFormatPr defaultRowHeight="15" x14ac:dyDescent="0.25"/>
  <cols>
    <col min="2" max="2" width="14" bestFit="1" customWidth="1"/>
    <col min="4" max="4" width="96.7109375" bestFit="1" customWidth="1"/>
    <col min="5" max="5" width="9.140625" style="99"/>
    <col min="6" max="6" width="85.42578125" customWidth="1"/>
  </cols>
  <sheetData>
    <row r="2" spans="2:6" x14ac:dyDescent="0.25">
      <c r="D2" s="90" t="s">
        <v>201</v>
      </c>
      <c r="E2" s="100"/>
      <c r="F2" s="91" t="s">
        <v>202</v>
      </c>
    </row>
    <row r="3" spans="2:6" x14ac:dyDescent="0.25">
      <c r="D3" s="89"/>
      <c r="E3" s="100"/>
      <c r="F3" s="89"/>
    </row>
    <row r="4" spans="2:6" x14ac:dyDescent="0.25">
      <c r="B4" s="89" t="s">
        <v>197</v>
      </c>
      <c r="D4" t="s">
        <v>207</v>
      </c>
      <c r="F4" t="s">
        <v>211</v>
      </c>
    </row>
    <row r="5" spans="2:6" x14ac:dyDescent="0.25">
      <c r="B5" s="89"/>
      <c r="D5" t="s">
        <v>209</v>
      </c>
    </row>
    <row r="6" spans="2:6" x14ac:dyDescent="0.25">
      <c r="B6" s="89"/>
      <c r="D6" t="s">
        <v>210</v>
      </c>
    </row>
    <row r="7" spans="2:6" x14ac:dyDescent="0.25">
      <c r="B7" s="89"/>
    </row>
    <row r="8" spans="2:6" x14ac:dyDescent="0.25">
      <c r="B8" s="89"/>
    </row>
    <row r="9" spans="2:6" x14ac:dyDescent="0.25">
      <c r="B9" s="89" t="s">
        <v>198</v>
      </c>
      <c r="D9" t="s">
        <v>213</v>
      </c>
      <c r="F9" t="s">
        <v>220</v>
      </c>
    </row>
    <row r="10" spans="2:6" x14ac:dyDescent="0.25">
      <c r="B10" s="89"/>
      <c r="D10" t="s">
        <v>214</v>
      </c>
      <c r="F10" t="s">
        <v>222</v>
      </c>
    </row>
    <row r="11" spans="2:6" x14ac:dyDescent="0.25">
      <c r="B11" s="89"/>
      <c r="D11" t="s">
        <v>221</v>
      </c>
      <c r="F11" t="s">
        <v>348</v>
      </c>
    </row>
    <row r="12" spans="2:6" x14ac:dyDescent="0.25">
      <c r="B12" s="89"/>
      <c r="D12" t="s">
        <v>341</v>
      </c>
    </row>
    <row r="13" spans="2:6" x14ac:dyDescent="0.25">
      <c r="B13" s="89"/>
      <c r="E13" s="147"/>
    </row>
    <row r="14" spans="2:6" x14ac:dyDescent="0.25">
      <c r="B14" s="89"/>
    </row>
    <row r="15" spans="2:6" x14ac:dyDescent="0.25">
      <c r="B15" s="89" t="s">
        <v>199</v>
      </c>
      <c r="D15" t="s">
        <v>206</v>
      </c>
      <c r="F15" t="s">
        <v>244</v>
      </c>
    </row>
    <row r="16" spans="2:6" x14ac:dyDescent="0.25">
      <c r="B16" s="89"/>
      <c r="D16" t="s">
        <v>215</v>
      </c>
      <c r="F16" t="s">
        <v>245</v>
      </c>
    </row>
    <row r="17" spans="2:6" x14ac:dyDescent="0.25">
      <c r="B17" s="89"/>
      <c r="D17" t="s">
        <v>224</v>
      </c>
      <c r="E17" s="99" t="s">
        <v>295</v>
      </c>
      <c r="F17" t="s">
        <v>212</v>
      </c>
    </row>
    <row r="18" spans="2:6" x14ac:dyDescent="0.25">
      <c r="B18" s="89"/>
      <c r="D18" t="s">
        <v>217</v>
      </c>
      <c r="E18" s="99" t="s">
        <v>295</v>
      </c>
      <c r="F18" t="s">
        <v>294</v>
      </c>
    </row>
    <row r="19" spans="2:6" x14ac:dyDescent="0.25">
      <c r="B19" s="89"/>
      <c r="D19" t="s">
        <v>218</v>
      </c>
      <c r="F19" t="s">
        <v>216</v>
      </c>
    </row>
    <row r="20" spans="2:6" x14ac:dyDescent="0.25">
      <c r="B20" s="89"/>
      <c r="D20" t="s">
        <v>219</v>
      </c>
      <c r="F20" t="s">
        <v>225</v>
      </c>
    </row>
    <row r="21" spans="2:6" x14ac:dyDescent="0.25">
      <c r="B21" s="89"/>
      <c r="D21" t="s">
        <v>296</v>
      </c>
      <c r="E21" s="99" t="s">
        <v>295</v>
      </c>
      <c r="F21" t="s">
        <v>297</v>
      </c>
    </row>
    <row r="22" spans="2:6" x14ac:dyDescent="0.25">
      <c r="B22" s="89"/>
      <c r="D22" t="s">
        <v>298</v>
      </c>
      <c r="F22" t="s">
        <v>317</v>
      </c>
    </row>
    <row r="23" spans="2:6" x14ac:dyDescent="0.25">
      <c r="B23" s="89"/>
      <c r="D23" t="s">
        <v>293</v>
      </c>
    </row>
    <row r="24" spans="2:6" x14ac:dyDescent="0.25">
      <c r="B24" s="89"/>
      <c r="D24" t="s">
        <v>247</v>
      </c>
    </row>
    <row r="25" spans="2:6" x14ac:dyDescent="0.25">
      <c r="B25" s="89"/>
      <c r="D25" t="s">
        <v>299</v>
      </c>
    </row>
    <row r="26" spans="2:6" x14ac:dyDescent="0.25">
      <c r="B26" s="89"/>
      <c r="D26" t="s">
        <v>336</v>
      </c>
    </row>
    <row r="27" spans="2:6" x14ac:dyDescent="0.25">
      <c r="B27" s="89"/>
      <c r="E27" s="136"/>
    </row>
    <row r="28" spans="2:6" x14ac:dyDescent="0.25">
      <c r="B28" s="89"/>
    </row>
    <row r="29" spans="2:6" x14ac:dyDescent="0.25">
      <c r="B29" s="89" t="s">
        <v>200</v>
      </c>
      <c r="D29" t="s">
        <v>306</v>
      </c>
      <c r="F29" t="s">
        <v>204</v>
      </c>
    </row>
    <row r="30" spans="2:6" x14ac:dyDescent="0.25">
      <c r="D30" t="s">
        <v>223</v>
      </c>
      <c r="F30" t="s">
        <v>307</v>
      </c>
    </row>
    <row r="31" spans="2:6" x14ac:dyDescent="0.25">
      <c r="D31" t="s">
        <v>203</v>
      </c>
      <c r="E31" s="99" t="s">
        <v>295</v>
      </c>
      <c r="F31" t="s">
        <v>243</v>
      </c>
    </row>
    <row r="32" spans="2:6" x14ac:dyDescent="0.25">
      <c r="D32" t="s">
        <v>205</v>
      </c>
    </row>
    <row r="33" spans="4:4" x14ac:dyDescent="0.25">
      <c r="D33" t="s">
        <v>208</v>
      </c>
    </row>
    <row r="34" spans="4:4" x14ac:dyDescent="0.25">
      <c r="D34" t="s">
        <v>246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72FF-4C1D-4119-8A33-37FDA5C39617}">
  <dimension ref="C2:R23"/>
  <sheetViews>
    <sheetView workbookViewId="0">
      <selection activeCell="J26" sqref="J26"/>
    </sheetView>
  </sheetViews>
  <sheetFormatPr defaultRowHeight="15" x14ac:dyDescent="0.25"/>
  <cols>
    <col min="1" max="2" width="9.140625" style="1"/>
    <col min="3" max="3" width="9.5703125" style="1" bestFit="1" customWidth="1"/>
    <col min="4" max="4" width="9.140625" style="1"/>
    <col min="5" max="5" width="18.42578125" style="1" customWidth="1"/>
    <col min="6" max="6" width="9.140625" style="1"/>
    <col min="7" max="7" width="9.7109375" style="1" bestFit="1" customWidth="1"/>
    <col min="8" max="8" width="10.5703125" style="1" bestFit="1" customWidth="1"/>
    <col min="9" max="9" width="9.140625" style="1"/>
    <col min="10" max="10" width="15.42578125" style="1" bestFit="1" customWidth="1"/>
    <col min="11" max="16" width="15.42578125" style="1" customWidth="1"/>
    <col min="17" max="17" width="15.42578125" style="1" bestFit="1" customWidth="1"/>
    <col min="18" max="18" width="0" style="1" hidden="1" customWidth="1"/>
    <col min="19" max="16384" width="9.140625" style="1"/>
  </cols>
  <sheetData>
    <row r="2" spans="3:18" x14ac:dyDescent="0.25">
      <c r="C2" s="178" t="s">
        <v>324</v>
      </c>
      <c r="D2" s="178"/>
      <c r="E2" s="178"/>
    </row>
    <row r="3" spans="3:18" x14ac:dyDescent="0.25">
      <c r="J3" s="187" t="s">
        <v>186</v>
      </c>
      <c r="K3" s="187"/>
      <c r="L3" s="187"/>
      <c r="M3" s="187"/>
      <c r="N3" s="187"/>
      <c r="O3" s="187"/>
    </row>
    <row r="4" spans="3:18" x14ac:dyDescent="0.25">
      <c r="C4" s="1" t="s">
        <v>325</v>
      </c>
      <c r="E4" s="1" t="s">
        <v>326</v>
      </c>
      <c r="G4" s="13" t="s">
        <v>168</v>
      </c>
      <c r="H4" s="13" t="s">
        <v>169</v>
      </c>
      <c r="J4" s="13" t="s">
        <v>183</v>
      </c>
      <c r="K4" s="13" t="s">
        <v>184</v>
      </c>
      <c r="L4" s="13" t="s">
        <v>45</v>
      </c>
      <c r="M4" s="13" t="s">
        <v>47</v>
      </c>
      <c r="N4" s="13" t="s">
        <v>49</v>
      </c>
      <c r="O4" s="13" t="s">
        <v>185</v>
      </c>
      <c r="R4" s="1">
        <v>220</v>
      </c>
    </row>
    <row r="5" spans="3:18" x14ac:dyDescent="0.25">
      <c r="C5" s="1">
        <v>1</v>
      </c>
      <c r="E5" s="1">
        <v>0</v>
      </c>
      <c r="G5" s="1">
        <v>295</v>
      </c>
      <c r="H5" s="83">
        <v>2.2000000000000002</v>
      </c>
      <c r="J5" s="83">
        <f>K5/2</f>
        <v>67.045454545454547</v>
      </c>
      <c r="K5" s="83">
        <f t="shared" ref="K5:K10" si="0">G5/H5</f>
        <v>134.09090909090909</v>
      </c>
      <c r="L5" s="83">
        <f>K5*1.5</f>
        <v>201.13636363636363</v>
      </c>
      <c r="M5" s="83">
        <f>K5*2</f>
        <v>268.18181818181819</v>
      </c>
      <c r="N5" s="83">
        <f>K5*2.5</f>
        <v>335.22727272727275</v>
      </c>
      <c r="O5" s="83">
        <f>K5*4</f>
        <v>536.36363636363637</v>
      </c>
      <c r="P5" s="83"/>
      <c r="Q5" s="83"/>
      <c r="R5" s="1">
        <v>220</v>
      </c>
    </row>
    <row r="6" spans="3:18" x14ac:dyDescent="0.25">
      <c r="C6" s="1">
        <v>1</v>
      </c>
      <c r="E6" s="1">
        <v>1</v>
      </c>
      <c r="G6" s="1">
        <v>320</v>
      </c>
      <c r="H6" s="83">
        <v>2.33</v>
      </c>
      <c r="J6" s="83">
        <f t="shared" ref="J6:J23" si="1">K6/2</f>
        <v>68.669527896995703</v>
      </c>
      <c r="K6" s="83">
        <f t="shared" si="0"/>
        <v>137.33905579399141</v>
      </c>
      <c r="L6" s="83">
        <f t="shared" ref="L6:L23" si="2">K6*1.5</f>
        <v>206.00858369098711</v>
      </c>
      <c r="M6" s="83">
        <f t="shared" ref="M6:M23" si="3">K6*2</f>
        <v>274.67811158798281</v>
      </c>
      <c r="N6" s="83">
        <f t="shared" ref="N6:N23" si="4">K6*2.5</f>
        <v>343.34763948497852</v>
      </c>
      <c r="O6" s="83">
        <f t="shared" ref="O6:O23" si="5">K6*4</f>
        <v>549.35622317596562</v>
      </c>
      <c r="P6" s="83"/>
      <c r="Q6" s="83"/>
      <c r="R6" s="1">
        <v>220</v>
      </c>
    </row>
    <row r="7" spans="3:18" x14ac:dyDescent="0.25">
      <c r="C7" s="1">
        <v>1</v>
      </c>
      <c r="E7" s="1">
        <v>2</v>
      </c>
      <c r="G7" s="1">
        <v>345</v>
      </c>
      <c r="H7" s="83">
        <v>2.3660000000000001</v>
      </c>
      <c r="J7" s="83">
        <f t="shared" si="1"/>
        <v>72.907861369399825</v>
      </c>
      <c r="K7" s="83">
        <f t="shared" si="0"/>
        <v>145.81572273879965</v>
      </c>
      <c r="L7" s="83">
        <f t="shared" si="2"/>
        <v>218.72358410819947</v>
      </c>
      <c r="M7" s="83">
        <f t="shared" si="3"/>
        <v>291.6314454775993</v>
      </c>
      <c r="N7" s="83">
        <f t="shared" si="4"/>
        <v>364.53930684699912</v>
      </c>
      <c r="O7" s="83">
        <f t="shared" si="5"/>
        <v>583.2628909551986</v>
      </c>
      <c r="P7" s="83"/>
      <c r="Q7" s="83"/>
      <c r="R7" s="1">
        <v>220</v>
      </c>
    </row>
    <row r="8" spans="3:18" x14ac:dyDescent="0.25">
      <c r="C8" s="1">
        <v>1</v>
      </c>
      <c r="E8" s="1">
        <v>3</v>
      </c>
      <c r="G8" s="1">
        <v>370</v>
      </c>
      <c r="H8" s="83">
        <v>2.4500000000000002</v>
      </c>
      <c r="J8" s="83">
        <f t="shared" si="1"/>
        <v>75.510204081632651</v>
      </c>
      <c r="K8" s="83">
        <f t="shared" si="0"/>
        <v>151.0204081632653</v>
      </c>
      <c r="L8" s="83">
        <f t="shared" si="2"/>
        <v>226.53061224489795</v>
      </c>
      <c r="M8" s="83">
        <f t="shared" si="3"/>
        <v>302.0408163265306</v>
      </c>
      <c r="N8" s="83">
        <f t="shared" si="4"/>
        <v>377.55102040816325</v>
      </c>
      <c r="O8" s="83">
        <f t="shared" si="5"/>
        <v>604.08163265306121</v>
      </c>
      <c r="P8" s="83"/>
      <c r="Q8" s="83"/>
      <c r="R8" s="1">
        <v>220</v>
      </c>
    </row>
    <row r="9" spans="3:18" x14ac:dyDescent="0.25">
      <c r="C9" s="1">
        <v>1</v>
      </c>
      <c r="E9" s="1">
        <v>4</v>
      </c>
      <c r="G9" s="1">
        <v>395</v>
      </c>
      <c r="H9" s="83">
        <v>2.58</v>
      </c>
      <c r="J9" s="83">
        <f t="shared" si="1"/>
        <v>76.550387596899228</v>
      </c>
      <c r="K9" s="83">
        <f t="shared" si="0"/>
        <v>153.10077519379846</v>
      </c>
      <c r="L9" s="83">
        <f t="shared" si="2"/>
        <v>229.6511627906977</v>
      </c>
      <c r="M9" s="83">
        <f t="shared" si="3"/>
        <v>306.20155038759691</v>
      </c>
      <c r="N9" s="83">
        <f t="shared" si="4"/>
        <v>382.75193798449612</v>
      </c>
      <c r="O9" s="83">
        <f t="shared" si="5"/>
        <v>612.40310077519382</v>
      </c>
      <c r="P9" s="83"/>
      <c r="Q9" s="83"/>
      <c r="R9" s="1">
        <v>220</v>
      </c>
    </row>
    <row r="10" spans="3:18" x14ac:dyDescent="0.25">
      <c r="C10" s="1">
        <v>1</v>
      </c>
      <c r="E10" s="1">
        <v>5</v>
      </c>
      <c r="G10" s="1">
        <v>420</v>
      </c>
      <c r="H10" s="83">
        <v>2.75</v>
      </c>
      <c r="J10" s="83">
        <f t="shared" si="1"/>
        <v>76.36363636363636</v>
      </c>
      <c r="K10" s="83">
        <f t="shared" si="0"/>
        <v>152.72727272727272</v>
      </c>
      <c r="L10" s="83">
        <f t="shared" si="2"/>
        <v>229.09090909090907</v>
      </c>
      <c r="M10" s="83">
        <f t="shared" si="3"/>
        <v>305.45454545454544</v>
      </c>
      <c r="N10" s="83">
        <f t="shared" si="4"/>
        <v>381.81818181818181</v>
      </c>
      <c r="O10" s="83">
        <f t="shared" si="5"/>
        <v>610.90909090909088</v>
      </c>
      <c r="P10" s="83"/>
      <c r="Q10" s="83"/>
      <c r="R10" s="1">
        <v>220</v>
      </c>
    </row>
    <row r="11" spans="3:18" x14ac:dyDescent="0.25">
      <c r="H11" s="83"/>
      <c r="J11" s="83"/>
      <c r="K11" s="83"/>
      <c r="L11" s="83"/>
      <c r="M11" s="83"/>
      <c r="N11" s="83"/>
      <c r="O11" s="83"/>
      <c r="P11" s="83"/>
      <c r="Q11" s="83"/>
    </row>
    <row r="12" spans="3:18" x14ac:dyDescent="0.25">
      <c r="C12" s="1">
        <v>2</v>
      </c>
      <c r="E12" s="1">
        <v>0</v>
      </c>
      <c r="G12" s="1">
        <v>345</v>
      </c>
      <c r="H12" s="83">
        <v>2.33</v>
      </c>
      <c r="J12" s="83">
        <f t="shared" si="1"/>
        <v>74.034334763948493</v>
      </c>
      <c r="K12" s="83">
        <f t="shared" ref="K12:K17" si="6">G12/H12</f>
        <v>148.06866952789699</v>
      </c>
      <c r="L12" s="83">
        <f t="shared" si="2"/>
        <v>222.10300429184548</v>
      </c>
      <c r="M12" s="83">
        <f t="shared" si="3"/>
        <v>296.13733905579397</v>
      </c>
      <c r="N12" s="83">
        <f t="shared" si="4"/>
        <v>370.17167381974247</v>
      </c>
      <c r="O12" s="83">
        <f t="shared" si="5"/>
        <v>592.27467811158795</v>
      </c>
      <c r="P12" s="83"/>
      <c r="Q12" s="83"/>
      <c r="R12" s="1">
        <v>220</v>
      </c>
    </row>
    <row r="13" spans="3:18" x14ac:dyDescent="0.25">
      <c r="C13" s="1">
        <v>2</v>
      </c>
      <c r="E13" s="1">
        <v>1</v>
      </c>
      <c r="G13" s="1">
        <v>370</v>
      </c>
      <c r="H13" s="83">
        <v>2.4500000000000002</v>
      </c>
      <c r="J13" s="83">
        <f t="shared" si="1"/>
        <v>75.510204081632651</v>
      </c>
      <c r="K13" s="83">
        <f t="shared" si="6"/>
        <v>151.0204081632653</v>
      </c>
      <c r="L13" s="83">
        <f t="shared" si="2"/>
        <v>226.53061224489795</v>
      </c>
      <c r="M13" s="83">
        <f t="shared" si="3"/>
        <v>302.0408163265306</v>
      </c>
      <c r="N13" s="83">
        <f t="shared" si="4"/>
        <v>377.55102040816325</v>
      </c>
      <c r="O13" s="83">
        <f t="shared" si="5"/>
        <v>604.08163265306121</v>
      </c>
      <c r="P13" s="83"/>
      <c r="Q13" s="83"/>
      <c r="R13" s="1">
        <v>220</v>
      </c>
    </row>
    <row r="14" spans="3:18" x14ac:dyDescent="0.25">
      <c r="C14" s="1">
        <v>2</v>
      </c>
      <c r="E14" s="1">
        <v>2</v>
      </c>
      <c r="G14" s="1">
        <v>395</v>
      </c>
      <c r="H14" s="83">
        <v>2.5</v>
      </c>
      <c r="J14" s="83">
        <f t="shared" si="1"/>
        <v>79</v>
      </c>
      <c r="K14" s="83">
        <f t="shared" si="6"/>
        <v>158</v>
      </c>
      <c r="L14" s="83">
        <f t="shared" si="2"/>
        <v>237</v>
      </c>
      <c r="M14" s="83">
        <f t="shared" si="3"/>
        <v>316</v>
      </c>
      <c r="N14" s="83">
        <f t="shared" si="4"/>
        <v>395</v>
      </c>
      <c r="O14" s="83">
        <f t="shared" si="5"/>
        <v>632</v>
      </c>
      <c r="P14" s="83"/>
      <c r="Q14" s="83"/>
      <c r="R14" s="1">
        <v>220</v>
      </c>
    </row>
    <row r="15" spans="3:18" x14ac:dyDescent="0.25">
      <c r="C15" s="1">
        <v>2</v>
      </c>
      <c r="E15" s="1">
        <v>3</v>
      </c>
      <c r="G15" s="1">
        <v>420</v>
      </c>
      <c r="H15" s="83">
        <v>2.58</v>
      </c>
      <c r="J15" s="83">
        <f t="shared" si="1"/>
        <v>81.395348837209298</v>
      </c>
      <c r="K15" s="83">
        <f t="shared" si="6"/>
        <v>162.7906976744186</v>
      </c>
      <c r="L15" s="83">
        <f t="shared" si="2"/>
        <v>244.18604651162789</v>
      </c>
      <c r="M15" s="83">
        <f t="shared" si="3"/>
        <v>325.58139534883719</v>
      </c>
      <c r="N15" s="83">
        <f t="shared" si="4"/>
        <v>406.97674418604652</v>
      </c>
      <c r="O15" s="83">
        <f t="shared" si="5"/>
        <v>651.16279069767438</v>
      </c>
      <c r="P15" s="83"/>
      <c r="Q15" s="83"/>
      <c r="R15" s="1">
        <v>220</v>
      </c>
    </row>
    <row r="16" spans="3:18" x14ac:dyDescent="0.25">
      <c r="C16" s="1">
        <v>2</v>
      </c>
      <c r="E16" s="1">
        <v>4</v>
      </c>
      <c r="G16" s="1">
        <v>445</v>
      </c>
      <c r="H16" s="83">
        <v>2.7</v>
      </c>
      <c r="J16" s="83">
        <f t="shared" si="1"/>
        <v>82.407407407407405</v>
      </c>
      <c r="K16" s="83">
        <f t="shared" si="6"/>
        <v>164.81481481481481</v>
      </c>
      <c r="L16" s="83">
        <f t="shared" si="2"/>
        <v>247.22222222222223</v>
      </c>
      <c r="M16" s="83">
        <f t="shared" si="3"/>
        <v>329.62962962962962</v>
      </c>
      <c r="N16" s="83">
        <f t="shared" si="4"/>
        <v>412.03703703703701</v>
      </c>
      <c r="O16" s="83">
        <f t="shared" si="5"/>
        <v>659.25925925925924</v>
      </c>
      <c r="P16" s="83"/>
      <c r="Q16" s="83"/>
      <c r="R16" s="1">
        <v>220</v>
      </c>
    </row>
    <row r="17" spans="3:18" x14ac:dyDescent="0.25">
      <c r="C17" s="1">
        <v>2</v>
      </c>
      <c r="E17" s="1">
        <v>5</v>
      </c>
      <c r="G17" s="1">
        <v>470</v>
      </c>
      <c r="H17" s="83">
        <v>2.87</v>
      </c>
      <c r="J17" s="83">
        <f t="shared" si="1"/>
        <v>81.881533101045292</v>
      </c>
      <c r="K17" s="83">
        <f t="shared" si="6"/>
        <v>163.76306620209058</v>
      </c>
      <c r="L17" s="83">
        <f t="shared" si="2"/>
        <v>245.64459930313586</v>
      </c>
      <c r="M17" s="83">
        <f t="shared" si="3"/>
        <v>327.52613240418117</v>
      </c>
      <c r="N17" s="83">
        <f t="shared" si="4"/>
        <v>409.40766550522648</v>
      </c>
      <c r="O17" s="83">
        <f t="shared" si="5"/>
        <v>655.05226480836234</v>
      </c>
      <c r="P17" s="83"/>
      <c r="Q17" s="83"/>
      <c r="R17" s="1">
        <v>220</v>
      </c>
    </row>
    <row r="18" spans="3:18" x14ac:dyDescent="0.25">
      <c r="H18" s="83"/>
      <c r="J18" s="83"/>
      <c r="K18" s="83"/>
      <c r="L18" s="83"/>
      <c r="M18" s="83"/>
      <c r="N18" s="83"/>
      <c r="O18" s="83"/>
      <c r="P18" s="83"/>
      <c r="Q18" s="83"/>
    </row>
    <row r="19" spans="3:18" x14ac:dyDescent="0.25">
      <c r="C19" s="1">
        <v>3</v>
      </c>
      <c r="E19" s="1">
        <v>0</v>
      </c>
      <c r="G19" s="1">
        <v>395</v>
      </c>
      <c r="H19" s="83">
        <v>2.7</v>
      </c>
      <c r="J19" s="83">
        <f t="shared" si="1"/>
        <v>73.148148148148138</v>
      </c>
      <c r="K19" s="83">
        <f>G19/H19</f>
        <v>146.29629629629628</v>
      </c>
      <c r="L19" s="83">
        <f t="shared" si="2"/>
        <v>219.4444444444444</v>
      </c>
      <c r="M19" s="83">
        <f t="shared" si="3"/>
        <v>292.59259259259255</v>
      </c>
      <c r="N19" s="83">
        <f t="shared" si="4"/>
        <v>365.7407407407407</v>
      </c>
      <c r="O19" s="83">
        <f t="shared" si="5"/>
        <v>585.18518518518511</v>
      </c>
      <c r="P19" s="83"/>
      <c r="Q19" s="83"/>
      <c r="R19" s="1">
        <v>220</v>
      </c>
    </row>
    <row r="20" spans="3:18" x14ac:dyDescent="0.25">
      <c r="C20" s="1">
        <v>3</v>
      </c>
      <c r="E20" s="1">
        <v>1</v>
      </c>
      <c r="G20" s="1">
        <v>420</v>
      </c>
      <c r="H20" s="83">
        <v>2.83</v>
      </c>
      <c r="J20" s="83">
        <f t="shared" si="1"/>
        <v>74.204946996466433</v>
      </c>
      <c r="K20" s="83">
        <f>G20/H20</f>
        <v>148.40989399293287</v>
      </c>
      <c r="L20" s="83">
        <f t="shared" si="2"/>
        <v>222.61484098939928</v>
      </c>
      <c r="M20" s="83">
        <f t="shared" si="3"/>
        <v>296.81978798586573</v>
      </c>
      <c r="N20" s="83">
        <f t="shared" si="4"/>
        <v>371.02473498233218</v>
      </c>
      <c r="O20" s="83">
        <f t="shared" si="5"/>
        <v>593.63957597173146</v>
      </c>
      <c r="P20" s="83"/>
      <c r="Q20" s="83"/>
      <c r="R20" s="1">
        <v>220</v>
      </c>
    </row>
    <row r="21" spans="3:18" x14ac:dyDescent="0.25">
      <c r="C21" s="1">
        <v>3</v>
      </c>
      <c r="E21" s="1">
        <v>2</v>
      </c>
      <c r="G21" s="1">
        <v>445</v>
      </c>
      <c r="H21" s="83">
        <v>2.87</v>
      </c>
      <c r="J21" s="83">
        <f t="shared" si="1"/>
        <v>77.526132404181183</v>
      </c>
      <c r="K21" s="83">
        <f>G21/H21</f>
        <v>155.05226480836237</v>
      </c>
      <c r="L21" s="83">
        <f t="shared" si="2"/>
        <v>232.57839721254356</v>
      </c>
      <c r="M21" s="83">
        <f t="shared" si="3"/>
        <v>310.10452961672473</v>
      </c>
      <c r="N21" s="83">
        <f t="shared" si="4"/>
        <v>387.6306620209059</v>
      </c>
      <c r="O21" s="83">
        <f t="shared" si="5"/>
        <v>620.20905923344947</v>
      </c>
      <c r="P21" s="83"/>
      <c r="Q21" s="83"/>
      <c r="R21" s="1">
        <v>220</v>
      </c>
    </row>
    <row r="22" spans="3:18" x14ac:dyDescent="0.25">
      <c r="C22" s="1">
        <v>3</v>
      </c>
      <c r="E22" s="1">
        <v>3</v>
      </c>
      <c r="G22" s="1">
        <v>470</v>
      </c>
      <c r="H22" s="83">
        <v>2.95</v>
      </c>
      <c r="J22" s="83">
        <f t="shared" si="1"/>
        <v>79.66101694915254</v>
      </c>
      <c r="K22" s="83">
        <f>G22/H22</f>
        <v>159.32203389830508</v>
      </c>
      <c r="L22" s="83">
        <f t="shared" si="2"/>
        <v>238.9830508474576</v>
      </c>
      <c r="M22" s="83">
        <f t="shared" si="3"/>
        <v>318.64406779661016</v>
      </c>
      <c r="N22" s="83">
        <f t="shared" si="4"/>
        <v>398.30508474576271</v>
      </c>
      <c r="O22" s="83">
        <f t="shared" si="5"/>
        <v>637.28813559322032</v>
      </c>
      <c r="P22" s="83"/>
      <c r="Q22" s="83"/>
      <c r="R22" s="1">
        <v>220</v>
      </c>
    </row>
    <row r="23" spans="3:18" x14ac:dyDescent="0.25">
      <c r="C23" s="1">
        <v>3</v>
      </c>
      <c r="E23" s="1">
        <v>4</v>
      </c>
      <c r="G23" s="1">
        <v>495</v>
      </c>
      <c r="H23" s="83">
        <v>3.08</v>
      </c>
      <c r="J23" s="83">
        <f t="shared" si="1"/>
        <v>80.357142857142861</v>
      </c>
      <c r="K23" s="83">
        <f>G23/H23</f>
        <v>160.71428571428572</v>
      </c>
      <c r="L23" s="83">
        <f t="shared" si="2"/>
        <v>241.07142857142858</v>
      </c>
      <c r="M23" s="83">
        <f t="shared" si="3"/>
        <v>321.42857142857144</v>
      </c>
      <c r="N23" s="83">
        <f t="shared" si="4"/>
        <v>401.78571428571433</v>
      </c>
      <c r="O23" s="83">
        <f t="shared" si="5"/>
        <v>642.85714285714289</v>
      </c>
      <c r="P23" s="83"/>
      <c r="Q23" s="83"/>
      <c r="R23" s="1">
        <v>220</v>
      </c>
    </row>
  </sheetData>
  <mergeCells count="2">
    <mergeCell ref="J3:O3"/>
    <mergeCell ref="C2:E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Population requirements</vt:lpstr>
      <vt:lpstr>Island Size</vt:lpstr>
      <vt:lpstr>Island combinations (WIP)</vt:lpstr>
      <vt:lpstr>Resource prep for palace</vt:lpstr>
      <vt:lpstr>Coal calculations</vt:lpstr>
      <vt:lpstr>Units</vt:lpstr>
      <vt:lpstr>Ship cost efficiency</vt:lpstr>
      <vt:lpstr>Custodians pros and cons (WIP)</vt:lpstr>
      <vt:lpstr>Size 14 handover</vt:lpstr>
      <vt:lpstr>Output ref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Alex</cp:lastModifiedBy>
  <dcterms:created xsi:type="dcterms:W3CDTF">2022-08-13T09:21:16Z</dcterms:created>
  <dcterms:modified xsi:type="dcterms:W3CDTF">2022-10-24T06:26:36Z</dcterms:modified>
</cp:coreProperties>
</file>