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96b768a4f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dba6992b639f4621"/>
    <x:sheet xmlns:r="http://schemas.openxmlformats.org/officeDocument/2006/relationships" name="Project Timeline" sheetId="2" r:id="Re63c3ce702fc4657"/>
    <x:sheet xmlns:r="http://schemas.openxmlformats.org/officeDocument/2006/relationships" name="Task List" sheetId="3" r:id="R5e31d294f7df4c3c"/>
    <x:sheet xmlns:r="http://schemas.openxmlformats.org/officeDocument/2006/relationships" name="Milestones" sheetId="4" r:id="R42111cf06dee4af5"/>
    <x:sheet xmlns:r="http://schemas.openxmlformats.org/officeDocument/2006/relationships" name="Settings" sheetId="5" r:id="R4dff116ccc784dfe"/>
    <x:sheet xmlns:r="http://schemas.openxmlformats.org/officeDocument/2006/relationships" name="Read Me" sheetId="6" r:id="Re81154175a864147"/>
  </x:sheets>
</x:workbook>
</file>

<file path=xl/sharedStrings.xml><?xml version="1.0" encoding="utf-8"?>
<x:sst xmlns:x="http://schemas.openxmlformats.org/spreadsheetml/2006/main">
  <x:si>
    <x:t xml:space="preserve">SIMPLE OFFICE AI  |  Project Timeline &amp; Lightweight Gantt Planner</x:t>
  </x:si>
  <x:si>
    <x:t xml:space="preserve">Dashboard</x:t>
  </x:si>
  <x:si>
    <x:t xml:space="preserve">Project Timeline</x:t>
  </x:si>
  <x:si>
    <x:t xml:space="preserve">Task List</x:t>
  </x:si>
  <x:si>
    <x:t xml:space="preserve">Milestones</x:t>
  </x:si>
  <x:si>
    <x:t xml:space="preserve">Settings</x:t>
  </x:si>
  <x:si>
    <x:t xml:space="preserve">Read Me</x:t>
  </x:si>
  <x:si>
    <x:t xml:space="preserve">EXECUTIVE PROJECT DASHBOARD</x:t>
  </x:si>
  <x:si>
    <x:t xml:space="preserve">High-level overview of milestone progression, task statuses, critical path risks, and project health.</x:t>
  </x:si>
  <x:si>
    <x:t xml:space="preserve">Project Name</x:t>
  </x:si>
  <x:si>
    <x:t xml:space="preserve">Manager</x:t>
  </x:si>
  <x:si>
    <x:t xml:space="preserve">Start Date</x:t>
  </x:si>
  <x:si>
    <x:t xml:space="preserve">Target End</x:t>
  </x:si>
  <x:si>
    <x:t xml:space="preserve">Reporting Date</x:t>
  </x:si>
  <x:si>
    <x:t xml:space="preserve">Project Health</x:t>
  </x:si>
  <x:si>
    <x:t xml:space="preserve">TOTAL TASKS</x:t>
  </x:si>
  <x:si>
    <x:t xml:space="preserve">COMPLETED TASKS</x:t>
  </x:si>
  <x:si>
    <x:t xml:space="preserve">IN PROGRESS</x:t>
  </x:si>
  <x:si>
    <x:t xml:space="preserve">NOT STARTED</x:t>
  </x:si>
  <x:si>
    <x:t xml:space="preserve">PROJECT HEALTH &amp; GOVERNANCE EVALUATION</x:t>
  </x:si>
  <x:si>
    <x:t xml:space="preserve">Active scope records</x:t>
  </x:si>
  <x:si>
    <x:t xml:space="preserve">Fully delivered items</x:t>
  </x:si>
  <x:si>
    <x:t xml:space="preserve">Active sprint tasks</x:t>
  </x:si>
  <x:si>
    <x:t xml:space="preserve">Backlog &amp; future phases</x:t>
  </x:si>
  <x:si>
    <x:t xml:space="preserve">OVERDUE TASKS</x:t>
  </x:si>
  <x:si>
    <x:t xml:space="preserve">BLOCKED TASKS</x:t>
  </x:si>
  <x:si>
    <x:t xml:space="preserve">OVERALL COMPLETION</x:t>
  </x:si>
  <x:si>
    <x:t xml:space="preserve">DAYS REMAINING</x:t>
  </x:si>
  <x:si>
    <x:t xml:space="preserve">Past deadline &amp; incomplete</x:t>
  </x:si>
  <x:si>
    <x:t xml:space="preserve">Requires escalation</x:t>
  </x:si>
  <x:si>
    <x:t xml:space="preserve">Scope progress average</x:t>
  </x:si>
  <x:si>
    <x:t xml:space="preserve">Calendar days to target end</x:t>
  </x:si>
  <x:si>
    <x:t xml:space="preserve">PROJECT ANALYTICS &amp; VISUAL METRICS</x:t>
  </x:si>
  <x:si>
    <x:t xml:space="preserve">Task ID</x:t>
  </x:si>
  <x:si>
    <x:t xml:space="preserve">Phase</x:t>
  </x:si>
  <x:si>
    <x:t xml:space="preserve">Task Name</x:t>
  </x:si>
  <x:si>
    <x:t xml:space="preserve">Owner</x:t>
  </x:si>
  <x:si>
    <x:t xml:space="preserve">End Date</x:t>
  </x:si>
  <x:si>
    <x:t xml:space="preserve">Status</x:t>
  </x:si>
  <x:si>
    <x:t xml:space="preserve">Priority</x:t>
  </x:si>
  <x:si>
    <x:t xml:space="preserve">Schedule Alert</x:t>
  </x:si>
  <x:si>
    <x:t xml:space="preserve">Root Cause / Escalation Note</x:t>
  </x:si>
  <x:si>
    <x:t xml:space="preserve">Milestone ID</x:t>
  </x:si>
  <x:si>
    <x:t xml:space="preserve">Milestone Name</x:t>
  </x:si>
  <x:si>
    <x:t xml:space="preserve">Target Date</x:t>
  </x:si>
  <x:si>
    <x:t xml:space="preserve">Completion %</x:t>
  </x:si>
  <x:si>
    <x:t xml:space="preserve">Days Remaining</x:t>
  </x:si>
  <x:si>
    <x:t xml:space="preserve">PROJECT TIMELINE &amp; GANTT ROADMAP</x:t>
  </x:si>
  <x:si>
    <x:t xml:space="preserve">Dynamic weekly calendar grid. Timeline bars, status highlights, and milestone indicators update automatically from task dates.</x:t>
  </x:si>
  <x:si>
    <x:t xml:space="preserve">Duration</x:t>
  </x:si>
  <x:si>
    <x:t xml:space="preserve">Comp %</x:t>
  </x:si>
  <x:si>
    <x:t xml:space="preserve">Dep</x:t>
  </x:si>
  <x:si>
    <x:t xml:space="preserve">Milestone</x:t>
  </x:si>
  <x:si>
    <x:t xml:space="preserve">MASTER PROJECT TASK LIST</x:t>
  </x:si>
  <x:si>
    <x:t xml:space="preserve">Main operational database (tblTasks). Enter tasks, dates, owners, and progress. Formulas calculate duration, overdue alerts, and days remaining.</x:t>
  </x:si>
  <x:si>
    <x:t xml:space="preserve">Description</x:t>
  </x:si>
  <x:si>
    <x:t xml:space="preserve">Dependency Task ID</x:t>
  </x:si>
  <x:si>
    <x:t xml:space="preserve">Actual Completion Date</x:t>
  </x:si>
  <x:si>
    <x:t xml:space="preserve">Schedule Status</x:t>
  </x:si>
  <x:si>
    <x:t xml:space="preserve">Notes</x:t>
  </x:si>
  <x:si>
    <x:t xml:space="preserve">TSK-01</x:t>
  </x:si>
  <x:si>
    <x:t xml:space="preserve">Discovery</x:t>
  </x:si>
  <x:si>
    <x:t xml:space="preserve">Stakeholder Requirements Gathering</x:t>
  </x:si>
  <x:si>
    <x:t xml:space="preserve">Interview department heads and synthesize portal feature specifications.</x:t>
  </x:si>
  <x:si>
    <x:t xml:space="preserve">Alex Morgan</x:t>
  </x:si>
  <x:si>
    <x:t xml:space="preserve">Completed</x:t>
  </x:si>
  <x:si>
    <x:t xml:space="preserve">High</x:t>
  </x:si>
  <x:si>
    <x:t xml:space="preserve">-</x:t>
  </x:si>
  <x:si>
    <x:t xml:space="preserve">No</x:t>
  </x:si>
  <x:si>
    <x:t xml:space="preserve">Approved by client committee.</x:t>
  </x:si>
  <x:si>
    <x:t xml:space="preserve">TSK-02</x:t>
  </x:si>
  <x:si>
    <x:t xml:space="preserve">User Persona &amp; Journey Mapping</x:t>
  </x:si>
  <x:si>
    <x:t xml:space="preserve">Define primary user workflows, permission tiers, and access levels.</x:t>
  </x:si>
  <x:si>
    <x:t xml:space="preserve">Sarah Chen</x:t>
  </x:si>
  <x:si>
    <x:t xml:space="preserve">Medium</x:t>
  </x:si>
  <x:si>
    <x:t xml:space="preserve">4 core persona flows established.</x:t>
  </x:si>
  <x:si>
    <x:t xml:space="preserve">TSK-03</x:t>
  </x:si>
  <x:si>
    <x:t xml:space="preserve">Discovery Phase Approval Sign-off</x:t>
  </x:si>
  <x:si>
    <x:t xml:space="preserve">Executive governance gate sign-off on discovery deliverables and scope.</x:t>
  </x:si>
  <x:si>
    <x:t xml:space="preserve">Critical</x:t>
  </x:si>
  <x:si>
    <x:t xml:space="preserve">Yes</x:t>
  </x:si>
  <x:si>
    <x:t xml:space="preserve">Formal sign-off milestone achieved.</x:t>
  </x:si>
  <x:si>
    <x:t xml:space="preserve">TSK-04</x:t>
  </x:si>
  <x:si>
    <x:t xml:space="preserve">Planning</x:t>
  </x:si>
  <x:si>
    <x:t xml:space="preserve">System Architecture &amp; Security Spec</x:t>
  </x:si>
  <x:si>
    <x:t xml:space="preserve">Define cloud infrastructure, database schema, and OAuth2 security guidelines.</x:t>
  </x:si>
  <x:si>
    <x:t xml:space="preserve">Marcus Vance</x:t>
  </x:si>
  <x:si>
    <x:t xml:space="preserve">SOC2 security baseline adopted.</x:t>
  </x:si>
  <x:si>
    <x:t xml:space="preserve">TSK-05</x:t>
  </x:si>
  <x:si>
    <x:t xml:space="preserve">Content Taxonomy &amp; Helpdesk Schema</x:t>
  </x:si>
  <x:si>
    <x:t xml:space="preserve">Structure knowledge base categories, help documentation, and FAQs.</x:t>
  </x:si>
  <x:si>
    <x:t xml:space="preserve">Elena Rostova</x:t>
  </x:si>
  <x:si>
    <x:t xml:space="preserve">In Progress</x:t>
  </x:si>
  <x:si>
    <x:t xml:space="preserve">Delayed review by legal; overdue relative to reporting date.</x:t>
  </x:si>
  <x:si>
    <x:t xml:space="preserve">TSK-06</x:t>
  </x:si>
  <x:si>
    <x:t xml:space="preserve">Project Roadmap &amp; Resource Allocation</x:t>
  </x:si>
  <x:si>
    <x:t xml:space="preserve">Finalize sprint schedule, milestones, and contractor capacity plans.</x:t>
  </x:si>
  <x:si>
    <x:t xml:space="preserve">Sprint timelines baselined.</x:t>
  </x:si>
  <x:si>
    <x:t xml:space="preserve">TSK-07</x:t>
  </x:si>
  <x:si>
    <x:t xml:space="preserve">Design</x:t>
  </x:si>
  <x:si>
    <x:t xml:space="preserve">Wireframe &amp; UX Prototype Drafting</x:t>
  </x:si>
  <x:si>
    <x:t xml:space="preserve">Design low-fidelity wireframes for customer dashboard and navigation.</x:t>
  </x:si>
  <x:si>
    <x:t xml:space="preserve">Due in 6 days; active design reviews underway.</x:t>
  </x:si>
  <x:si>
    <x:t xml:space="preserve">TSK-08</x:t>
  </x:si>
  <x:si>
    <x:t xml:space="preserve">Brand Design System &amp; UI Kit</x:t>
  </x:si>
  <x:si>
    <x:t xml:space="preserve">Produce component library in Figma (buttons, tables, inputs, modals).</x:t>
  </x:si>
  <x:si>
    <x:t xml:space="preserve">Figma component tokens aligned to brand palette.</x:t>
  </x:si>
  <x:si>
    <x:t xml:space="preserve">TSK-09</x:t>
  </x:si>
  <x:si>
    <x:t xml:space="preserve">Client Prototype Review &amp; Approval</x:t>
  </x:si>
  <x:si>
    <x:t xml:space="preserve">Interactive prototype walkthrough with executive stakeholders.</x:t>
  </x:si>
  <x:si>
    <x:t xml:space="preserve">Not Started</x:t>
  </x:si>
  <x:si>
    <x:t xml:space="preserve">Design freeze milestone gate.</x:t>
  </x:si>
  <x:si>
    <x:t xml:space="preserve">TSK-10</x:t>
  </x:si>
  <x:si>
    <x:t xml:space="preserve">Build</x:t>
  </x:si>
  <x:si>
    <x:t xml:space="preserve">Authentication &amp; SSO Integration</x:t>
  </x:si>
  <x:si>
    <x:t xml:space="preserve">Implement Google Workspace and Microsoft Azure AD single sign-on.</x:t>
  </x:si>
  <x:si>
    <x:t xml:space="preserve">Prerequisite for all profile and billing modules.</x:t>
  </x:si>
  <x:si>
    <x:t xml:space="preserve">TSK-11</x:t>
  </x:si>
  <x:si>
    <x:t xml:space="preserve">Customer Account &amp; Profile Module</x:t>
  </x:si>
  <x:si>
    <x:t xml:space="preserve">Build self-service settings, profile editing, and password reset flows.</x:t>
  </x:si>
  <x:si>
    <x:t xml:space="preserve">David Kim</x:t>
  </x:si>
  <x:si>
    <x:t xml:space="preserve">REST API backend endpoints defined.</x:t>
  </x:si>
  <x:si>
    <x:t xml:space="preserve">TSK-12</x:t>
  </x:si>
  <x:si>
    <x:t xml:space="preserve">Billing &amp; Payment Gateway API</x:t>
  </x:si>
  <x:si>
    <x:t xml:space="preserve">Integrate Stripe recurring billing, invoice download, and webhooks.</x:t>
  </x:si>
  <x:si>
    <x:t xml:space="preserve">Blocked</x:t>
  </x:si>
  <x:si>
    <x:t xml:space="preserve">BLOCKED: Awaiting corporate merchant account verification.</x:t>
  </x:si>
  <x:si>
    <x:t xml:space="preserve">TSK-13</x:t>
  </x:si>
  <x:si>
    <x:t xml:space="preserve">Core Feature Integration Complete</x:t>
  </x:si>
  <x:si>
    <x:t xml:space="preserve">Assemble all modules into unified staging environment build.</x:t>
  </x:si>
  <x:si>
    <x:t xml:space="preserve">Alpha build gate sign-off.</x:t>
  </x:si>
  <x:si>
    <x:t xml:space="preserve">TSK-14</x:t>
  </x:si>
  <x:si>
    <x:t xml:space="preserve">Testing</x:t>
  </x:si>
  <x:si>
    <x:t xml:space="preserve">End-to-End Functional Test Suite</x:t>
  </x:si>
  <x:si>
    <x:t xml:space="preserve">Execute automated regression tests, edge cases, and browser compatibility.</x:t>
  </x:si>
  <x:si>
    <x:t xml:space="preserve">Target 95%+ automated test pass rate.</x:t>
  </x:si>
  <x:si>
    <x:t xml:space="preserve">TSK-15</x:t>
  </x:si>
  <x:si>
    <x:t xml:space="preserve">Security Audit &amp; Vulnerability Assessment</x:t>
  </x:si>
  <x:si>
    <x:t xml:space="preserve">Third-party penetration testing and OWASP compliance review.</x:t>
  </x:si>
  <x:si>
    <x:t xml:space="preserve">Zero high-severity vulnerabilities required.</x:t>
  </x:si>
  <x:si>
    <x:t xml:space="preserve">TSK-16</x:t>
  </x:si>
  <x:si>
    <x:t xml:space="preserve">UAT &amp; Beta User Sign-Off</x:t>
  </x:si>
  <x:si>
    <x:t xml:space="preserve">Pilot test with 25 key customer representatives and synthesize feedback.</x:t>
  </x:si>
  <x:si>
    <x:t xml:space="preserve">Beta acceptance threshold: 90%+ satisfaction.</x:t>
  </x:si>
  <x:si>
    <x:t xml:space="preserve">TSK-17</x:t>
  </x:si>
  <x:si>
    <x:t xml:space="preserve">Launch</x:t>
  </x:si>
  <x:si>
    <x:t xml:space="preserve">Customer Support &amp; Staff Training</x:t>
  </x:si>
  <x:si>
    <x:t xml:space="preserve">Conduct training sessions for customer success and support staff.</x:t>
  </x:si>
  <x:si>
    <x:t xml:space="preserve">Training video library &amp; helpdocs published.</x:t>
  </x:si>
  <x:si>
    <x:t xml:space="preserve">TSK-18</x:t>
  </x:si>
  <x:si>
    <x:t xml:space="preserve">Production Deployment &amp; Go-Live</x:t>
  </x:si>
  <x:si>
    <x:t xml:space="preserve">Cutover DNS, execute production migration, and announce live portal.</x:t>
  </x:si>
  <x:si>
    <x:t xml:space="preserve">Official public launch milestone.</x:t>
  </x:si>
  <x:si>
    <x:t xml:space="preserve">PROJECT MILESTONES REGISTER</x:t>
  </x:si>
  <x:si>
    <x:t xml:space="preserve">Governance gates, stage sign-offs, and critical delivery checkpoints. Directly synchronized with project task tracking.</x:t>
  </x:si>
  <x:si>
    <x:t xml:space="preserve">TOTAL MILESTONES</x:t>
  </x:si>
  <x:si>
    <x:t xml:space="preserve">COMPLETED GATES</x:t>
  </x:si>
  <x:si>
    <x:t xml:space="preserve">UPCOMING / PENDING</x:t>
  </x:si>
  <x:si>
    <x:t xml:space="preserve">MILESTONE DELIVERIES</x:t>
  </x:si>
  <x:si>
    <x:t xml:space="preserve">Sign-Off Criteria / Notes</x:t>
  </x:si>
  <x:si>
    <x:t xml:space="preserve">PROJECT PARAMETERS</x:t>
  </x:si>
  <x:si>
    <x:t xml:space="preserve">Customer Portal Launch</x:t>
  </x:si>
  <x:si>
    <x:t xml:space="preserve">Project Manager</x:t>
  </x:si>
  <x:si>
    <x:t xml:space="preserve">Alex Morgan, PMP</x:t>
  </x:si>
  <x:si>
    <x:t xml:space="preserve">Project Start Date</x:t>
  </x:si>
  <x:si>
    <x:t xml:space="preserve">MASTER LOOKUP LISTS (DATA VALIDATION)</x:t>
  </x:si>
  <x:si>
    <x:t xml:space="preserve">DASHBOARD CHART AGGREGATIONS (AUTOMATED)</x:t>
  </x:si>
  <x:si>
    <x:t xml:space="preserve">Target End Date</x:t>
  </x:si>
  <x:si>
    <x:t xml:space="preserve">Project Phase</x:t>
  </x:si>
  <x:si>
    <x:t xml:space="preserve">Team Member</x:t>
  </x:si>
  <x:si>
    <x:t xml:space="preserve">Task Status</x:t>
  </x:si>
  <x:si>
    <x:t xml:space="preserve">Priority Level</x:t>
  </x:si>
  <x:si>
    <x:t xml:space="preserve">Milestone Flag</x:t>
  </x:si>
  <x:si>
    <x:t xml:space="preserve">Schedule Status Definition</x:t>
  </x:si>
  <x:si>
    <x:t xml:space="preserve">Reporting Date (Ref)</x:t>
  </x:si>
  <x:si>
    <x:t xml:space="preserve">Low</x:t>
  </x:si>
  <x:si>
    <x:t xml:space="preserve">Overall Project Health</x:t>
  </x:si>
  <x:si>
    <x:t xml:space="preserve">Due Soon (&lt;=7d)</x:t>
  </x:si>
  <x:si>
    <x:t xml:space="preserve">NOTE ON REPORTING DATE:
Cell D9 determines the baseline for 'Days Remaining', 'Due Soon', and 'Overdue' calculations. For live daily tracking, enter =TODAY(). For historical reviews or testing, enter a fixed calendar date.</x:t>
  </x:si>
  <x:si>
    <x:t xml:space="preserve">Overdue (&lt;0d)</x:t>
  </x:si>
  <x:si>
    <x:t xml:space="preserve">On Hold</x:t>
  </x:si>
  <x:si>
    <x:t xml:space="preserve">Count</x:t>
  </x:si>
  <x:si>
    <x:t xml:space="preserve">Total Tasks</x:t>
  </x:si>
  <x:si>
    <x:t xml:space="preserve">Phase Progress %</x:t>
  </x:si>
  <x:si>
    <x:t xml:space="preserve">SIMPLE OFFICE AI — PROJECT TIMELINE &amp; GANTT TEMPLATE USER GUIDE</x:t>
  </x:si>
  <x:si>
    <x:t xml:space="preserve">Operating instructions, calculation methodology, table auto-expansion rules, and best practices.</x:t>
  </x:si>
  <x:si>
    <x:t xml:space="preserve">1. EXECUTIVE OVERVIEW &amp; WORKBOOK PURPOSE</x:t>
  </x:si>
  <x:si>
    <x:t xml:space="preserve">2. WORKBOOK ARCHITECTURE &amp; SHEET SUMMARY</x:t>
  </x:si>
  <x:si>
    <x:t xml:space="preserve">3. HOW TO REPLACE SAMPLE DATA &amp; ADD NEW TASKS</x:t>
  </x:si>
  <x:si>
    <x:t xml:space="preserve">4. SCHEDULE STATUS &amp; OVERDUE DETECTION LOGIC</x:t>
  </x:si>
  <x:si>
    <x:t xml:space="preserve">5. PROJECT HEALTH FORMULA &amp; GOVERNANCE MATRIX</x:t>
  </x:si>
  <x:si>
    <x:t xml:space="preserve">6. COLOR CONVENTIONS &amp; DESIGN SYSTEM</x:t>
  </x:si>
  <x:si>
    <x:t xml:space="preserve">The template utilizes a standardized SaaS design palette:
• Deep Navy (#0F2747): Header banners, table headers, milestone markers.
• Primary Blue (#2563EB): Active navigation tabs, primary planned timeline bars, progress percentages.
• Emerald Green (#10B981): Completed tasks, 100% completion flags, 'On Track' health badge.
• Amber Orange (#F59E0B): 'Due Soon' warnings, 'At Risk' status, high-priority flags.
• Ruby Red (#DC2626): Overdue tasks, critical blockers, 'Off Track' status alerts.
• Soft Blue Cell Fill (#EFF6FF): Signals editable user input cells.
• White / Light Gray Fill: Calculated automated cells (do not overwrite formulas).</x:t>
  </x:si>
  <x:si>
    <x:t xml:space="preserve">7. EXCEL 365 COMPATIBILITY &amp; TECHNICAL SPECIFICATIONS</x:t>
  </x:si>
</x:sst>
</file>

<file path=xl/styles.xml><?xml version="1.0" encoding="utf-8"?>
<x:styleSheet xmlns:x="http://schemas.openxmlformats.org/spreadsheetml/2006/main">
  <x:numFmts count="5">
    <x:numFmt numFmtId="164" formatCode="yyyy-mm-dd"/>
    <x:numFmt numFmtId="165" formatCode="#,##0"/>
    <x:numFmt numFmtId="166" formatCode="0.0%"/>
    <x:numFmt numFmtId="167" formatCode="0%"/>
    <x:numFmt numFmtId="168" formatCode="mm/dd"/>
  </x:numFmts>
  <x:fonts count="24">
    <x:font>
      <x:sz val="11"/>
      <x:color theme="1"/>
      <x:name val="Calibri"/>
    </x:font>
    <x:font>
      <x:b/>
      <x:sz val="12"/>
      <x:color rgb="FFFFFFFF"/>
      <x:name val="Segoe UI"/>
    </x:font>
    <x:font>
      <x:b/>
      <x:sz val="9"/>
      <x:color rgb="FFFFFFFF"/>
      <x:name val="Segoe UI"/>
    </x:font>
    <x:font>
      <x:b/>
      <x:sz val="9"/>
      <x:color rgb="FF172033"/>
      <x:name val="Segoe UI"/>
    </x:font>
    <x:font>
      <x:b/>
      <x:sz val="15"/>
      <x:color rgb="FF0F2747"/>
      <x:name val="Segoe UI"/>
    </x:font>
    <x:font>
      <x:sz val="9"/>
      <x:color rgb="FF64748B"/>
      <x:name val="Segoe UI"/>
    </x:font>
    <x:font>
      <x:b/>
      <x:sz val="8"/>
      <x:color rgb="FF64748B"/>
      <x:name val="Segoe UI"/>
    </x:font>
    <x:font>
      <x:b/>
      <x:sz val="9"/>
      <x:color rgb="FF0F2747"/>
      <x:name val="Segoe UI"/>
    </x:font>
    <x:font>
      <x:b/>
      <x:sz val="9"/>
      <x:color rgb="FFFFFFFF"/>
      <x:name val="Segoe UI"/>
    </x:font>
    <x:font>
      <x:b/>
      <x:sz val="18"/>
      <x:color rgb="FF0F2747"/>
      <x:name val="Segoe UI"/>
    </x:font>
    <x:font>
      <x:b/>
      <x:sz val="18"/>
      <x:color rgb="FF10B981"/>
      <x:name val="Segoe UI"/>
    </x:font>
    <x:font>
      <x:sz val="8"/>
      <x:color rgb="FF334155"/>
      <x:name val="Segoe UI"/>
    </x:font>
    <x:font>
      <x:i/>
      <x:sz val="7"/>
      <x:color rgb="FF94A3B8"/>
      <x:name val="Segoe UI"/>
    </x:font>
    <x:font>
      <x:b/>
      <x:sz val="18"/>
      <x:color rgb="FFF59E0B"/>
      <x:name val="Segoe UI"/>
    </x:font>
    <x:font>
      <x:b/>
      <x:sz val="18"/>
      <x:color rgb="FFDC2626"/>
      <x:name val="Segoe UI"/>
    </x:font>
    <x:font>
      <x:b/>
      <x:sz val="18"/>
      <x:color rgb="FF2563EB"/>
      <x:name val="Segoe UI"/>
    </x:font>
    <x:font>
      <x:b/>
      <x:sz val="11"/>
      <x:color rgb="FF0F2747"/>
      <x:name val="Segoe UI"/>
    </x:font>
    <x:font>
      <x:sz val="9"/>
      <x:color rgb="FF172033"/>
      <x:name val="Segoe UI"/>
    </x:font>
    <x:font>
      <x:b/>
      <x:sz val="8"/>
      <x:color rgb="FFFFFFFF"/>
      <x:name val="Segoe UI"/>
    </x:font>
    <x:font>
      <x:sz val="7"/>
      <x:color rgb="FF93C5FD"/>
      <x:name val="Segoe UI"/>
    </x:font>
    <x:font>
      <x:sz val="8"/>
      <x:color rgb="FFCBD5E1"/>
      <x:name val="Segoe UI"/>
    </x:font>
    <x:font>
      <x:b/>
      <x:sz val="11"/>
      <x:color rgb="FFFFFFFF"/>
      <x:name val="Calibri"/>
    </x:font>
    <x:font>
      <x:b/>
      <x:sz val="11"/>
      <x:color rgb="FFD9E2F3"/>
      <x:name val="Calibri"/>
    </x:font>
    <x:font>
      <x:sz val="1"/>
      <x:color rgb="FFFFFFFF"/>
      <x:name val="Calibri"/>
    </x:font>
  </x:fonts>
  <x:fills count="9">
    <x:fill>
      <x:patternFill patternType="none"/>
    </x:fill>
    <x:fill>
      <x:patternFill patternType="gray125"/>
    </x:fill>
    <x:fill>
      <x:patternFill patternType="solid">
        <x:fgColor rgb="FF0F2747"/>
      </x:patternFill>
    </x:fill>
    <x:fill>
      <x:patternFill patternType="solid">
        <x:fgColor rgb="FF2563EB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F59E0B"/>
      </x:patternFill>
    </x:fill>
    <x:fill>
      <x:patternFill patternType="solid">
        <x:fgColor rgb="FFEFF6FF"/>
      </x:patternFill>
    </x:fill>
    <x:fill>
      <x:patternFill patternType="solid">
        <x:fgColor rgb="FF0F2747"/>
      </x:patternFill>
    </x:fill>
  </x:fills>
  <x:borders count="13">
    <x:border/>
    <x:border>
      <x:left style="thin">
        <x:color rgb="FF2563EB"/>
      </x:left>
      <x:right style="thin">
        <x:color rgb="FF2563EB"/>
      </x:right>
      <x:top style="thin">
        <x:color rgb="FF2563EB"/>
      </x:top>
      <x:bottom style="thin">
        <x:color rgb="FF2563EB"/>
      </x:bottom>
    </x:border>
    <x:border>
      <x:left style="thin">
        <x:color rgb="FFDCE3EC"/>
      </x:left>
      <x:right style="thin">
        <x:color rgb="FFDCE3EC"/>
      </x:right>
      <x:top style="thin">
        <x:color rgb="FFDCE3EC"/>
      </x:top>
      <x:bottom style="thin">
        <x:color rgb="FFDCE3EC"/>
      </x:bottom>
    </x:border>
    <x:border>
      <x:left style="thin">
        <x:color rgb="FFD97706"/>
      </x:left>
      <x:right style="thin">
        <x:color rgb="FFD97706"/>
      </x:right>
      <x:top style="thin">
        <x:color rgb="FFD97706"/>
      </x:top>
      <x:bottom style="thin">
        <x:color rgb="FFD97706"/>
      </x:bottom>
    </x:border>
    <x:border>
      <x:left style="thin">
        <x:color rgb="FFDCE3EC"/>
      </x:left>
      <x:right style="thin">
        <x:color rgb="FFDCE3EC"/>
      </x:right>
      <x:top style="thin">
        <x:color rgb="FFDCE3EC"/>
      </x:top>
    </x:border>
    <x:border>
      <x:left style="thin">
        <x:color rgb="FFDCE3EC"/>
      </x:left>
      <x:right style="thin">
        <x:color rgb="FFDCE3EC"/>
      </x:right>
    </x:border>
    <x:border>
      <x:left style="thin">
        <x:color rgb="FFDCE3EC"/>
      </x:left>
      <x:right style="thin">
        <x:color rgb="FFDCE3EC"/>
      </x:right>
      <x:bottom style="thin">
        <x:color rgb="FFDCE3EC"/>
      </x:bottom>
    </x:border>
    <x:border>
      <x:left style="thin">
        <x:color rgb="FF0F2747"/>
      </x:left>
      <x:right style="thin">
        <x:color rgb="FF0F2747"/>
      </x:right>
      <x:top style="thin">
        <x:color rgb="FF0F2747"/>
      </x:top>
      <x:bottom style="thin">
        <x:color rgb="FF0F2747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334155"/>
      </x:left>
      <x:right style="thin">
        <x:color rgb="FF334155"/>
      </x:right>
      <x:top style="thin">
        <x:color rgb="FF334155"/>
      </x:top>
      <x:bottom style="thin">
        <x:color rgb="FF334155"/>
      </x:bottom>
    </x:border>
    <x:border>
      <x:left style="thin">
        <x:color rgb="FFF1F5F9"/>
      </x:left>
      <x:right style="thin">
        <x:color rgb="FFF1F5F9"/>
      </x:right>
      <x:top style="thin">
        <x:color rgb="FFF1F5F9"/>
      </x:top>
      <x:bottom style="thin">
        <x:color rgb="FFF1F5F9"/>
      </x:bottom>
    </x:border>
    <x:border>
      <x:left style="thin">
        <x:color rgb="FFBFDBFE"/>
      </x:left>
      <x:right style="thin">
        <x:color rgb="FFBFDBFE"/>
      </x:right>
      <x:top style="thin">
        <x:color rgb="FFBFDBFE"/>
      </x:top>
      <x:bottom style="thin">
        <x:color rgb="FFBFDBFE"/>
      </x:bottom>
    </x:border>
    <x:border>
      <x:bottom style="thin">
        <x:color rgb="FFD9E2F3"/>
      </x:bottom>
    </x:border>
  </x:borders>
  <x:cellStyleXfs count="1">
    <x:xf numFmtId="0" fontId="0" fillId="0" borderId="0"/>
  </x:cellStyleXfs>
  <x:cellXfs count="49">
    <x:xf numFmtId="0" fontId="0" fillId="0" borderId="0" xfId="0"/>
    <x:xf numFmtId="0" fontId="1" fillId="2" borderId="0" xfId="0" applyFont="1" applyFill="1" applyAlignment="1">
      <x:alignment vertical="center"/>
    </x:xf>
    <x:xf numFmtId="0" fontId="2" fillId="3" borderId="1" xfId="0" applyFont="1" applyFill="1" applyBorder="1" applyAlignment="1">
      <x:alignment horizontal="center" vertical="center"/>
    </x:xf>
    <x:xf numFmtId="0" fontId="3" fillId="4" borderId="2" xfId="0" applyFont="1" applyFill="1" applyBorder="1" applyAlignment="1">
      <x:alignment horizontal="center" vertical="center"/>
    </x:xf>
    <x:xf numFmtId="0" fontId="4" fillId="0" borderId="0" xfId="0" applyFont="1" applyAlignment="1">
      <x:alignment vertical="center"/>
    </x:xf>
    <x:xf numFmtId="0" fontId="5" fillId="0" borderId="0" xfId="0" applyFont="1" applyAlignment="1">
      <x:alignment vertical="center"/>
    </x:xf>
    <x:xf numFmtId="0" fontId="6" fillId="5" borderId="2" xfId="0" applyFont="1" applyFill="1" applyBorder="1" applyAlignment="1">
      <x:alignment horizontal="right" vertical="center"/>
    </x:xf>
    <x:xf numFmtId="0" fontId="7" fillId="4" borderId="2" xfId="0" applyFont="1" applyFill="1" applyBorder="1" applyAlignment="1">
      <x:alignment horizontal="left" vertical="center"/>
    </x:xf>
    <x:xf numFmtId="164" fontId="7" fillId="4" borderId="2" xfId="0" applyNumberFormat="1" applyFont="1" applyFill="1" applyBorder="1" applyAlignment="1">
      <x:alignment horizontal="center" vertical="center"/>
    </x:xf>
    <x:xf numFmtId="0" fontId="8" fillId="6" borderId="3" xfId="0" applyFont="1" applyFill="1" applyBorder="1" applyAlignment="1">
      <x:alignment horizontal="center" vertical="center"/>
    </x:xf>
    <x:xf numFmtId="0" fontId="6" fillId="4" borderId="4" xfId="0" applyFont="1" applyFill="1" applyBorder="1" applyAlignment="1">
      <x:alignment horizontal="center" vertical="center"/>
    </x:xf>
    <x:xf numFmtId="0" fontId="2" fillId="3" borderId="1" xfId="0" applyFont="1" applyFill="1" applyBorder="1" applyAlignment="1">
      <x:alignment horizontal="center" vertical="center" wrapText="1"/>
    </x:xf>
    <x:xf numFmtId="165" fontId="9" fillId="4" borderId="5" xfId="0" applyNumberFormat="1" applyFont="1" applyFill="1" applyBorder="1" applyAlignment="1">
      <x:alignment horizontal="center" vertical="center"/>
    </x:xf>
    <x:xf numFmtId="165" fontId="10" fillId="4" borderId="5" xfId="0" applyNumberFormat="1" applyFont="1" applyFill="1" applyBorder="1" applyAlignment="1">
      <x:alignment horizontal="center" vertical="center"/>
    </x:xf>
    <x:xf numFmtId="0" fontId="11" fillId="4" borderId="2" xfId="0" applyFont="1" applyFill="1" applyBorder="1" applyAlignment="1">
      <x:alignment vertical="top" wrapText="1"/>
    </x:xf>
    <x:xf numFmtId="0" fontId="12" fillId="4" borderId="6" xfId="0" applyFont="1" applyFill="1" applyBorder="1" applyAlignment="1">
      <x:alignment horizontal="center" vertical="center"/>
    </x:xf>
    <x:xf numFmtId="165" fontId="13" fillId="4" borderId="5" xfId="0" applyNumberFormat="1" applyFont="1" applyFill="1" applyBorder="1" applyAlignment="1">
      <x:alignment horizontal="center" vertical="center"/>
    </x:xf>
    <x:xf numFmtId="165" fontId="14" fillId="4" borderId="5" xfId="0" applyNumberFormat="1" applyFont="1" applyFill="1" applyBorder="1" applyAlignment="1">
      <x:alignment horizontal="center" vertical="center"/>
    </x:xf>
    <x:xf numFmtId="166" fontId="15" fillId="4" borderId="5" xfId="0" applyNumberFormat="1" applyFont="1" applyFill="1" applyBorder="1" applyAlignment="1">
      <x:alignment horizontal="center" vertical="center"/>
    </x:xf>
    <x:xf numFmtId="0" fontId="16" fillId="0" borderId="0" xfId="0" applyFont="1" applyAlignment="1">
      <x:alignment vertical="center"/>
    </x:xf>
    <x:xf numFmtId="0" fontId="2" fillId="2" borderId="7" xfId="0" applyFont="1" applyFill="1" applyBorder="1" applyAlignment="1">
      <x:alignment horizontal="center" vertical="center" wrapText="1"/>
    </x:xf>
    <x:xf numFmtId="0" fontId="7" fillId="4" borderId="8" xfId="0" applyFont="1" applyFill="1" applyBorder="1" applyAlignment="1">
      <x:alignment horizontal="center" vertical="center"/>
    </x:xf>
    <x:xf numFmtId="0" fontId="17" fillId="4" borderId="8" xfId="0" applyFont="1" applyFill="1" applyBorder="1" applyAlignment="1">
      <x:alignment horizontal="center" vertical="center"/>
    </x:xf>
    <x:xf numFmtId="0" fontId="17" fillId="4" borderId="8" xfId="0" applyFont="1" applyFill="1" applyBorder="1" applyAlignment="1">
      <x:alignment vertical="center"/>
    </x:xf>
    <x:xf numFmtId="164" fontId="17" fillId="4" borderId="8" xfId="0" applyNumberFormat="1" applyFont="1" applyFill="1" applyBorder="1" applyAlignment="1">
      <x:alignment horizontal="center" vertical="center"/>
    </x:xf>
    <x:xf numFmtId="167" fontId="17" fillId="4" borderId="8" xfId="0" applyNumberFormat="1" applyFont="1" applyFill="1" applyBorder="1" applyAlignment="1">
      <x:alignment horizontal="right" vertical="center"/>
    </x:xf>
    <x:xf numFmtId="165" fontId="17" fillId="4" borderId="8" xfId="0" applyNumberFormat="1" applyFont="1" applyFill="1" applyBorder="1" applyAlignment="1">
      <x:alignment horizontal="right" vertical="center"/>
    </x:xf>
    <x:xf numFmtId="0" fontId="18" fillId="2" borderId="9" xfId="0" applyFont="1" applyFill="1" applyBorder="1" applyAlignment="1">
      <x:alignment horizontal="center" vertical="center"/>
    </x:xf>
    <x:xf numFmtId="0" fontId="2" fillId="2" borderId="7" xfId="0" applyFont="1" applyFill="1" applyBorder="1" applyAlignment="1">
      <x:alignment horizontal="left" vertical="center" wrapText="1"/>
    </x:xf>
    <x:xf numFmtId="168" fontId="19" fillId="2" borderId="9" xfId="0" applyNumberFormat="1" applyFont="1" applyFill="1" applyBorder="1" applyAlignment="1">
      <x:alignment horizontal="center" vertical="center"/>
    </x:xf>
    <x:xf numFmtId="0" fontId="20" fillId="4" borderId="10" xfId="0" applyFont="1" applyFill="1" applyBorder="1" applyAlignment="1">
      <x:alignment horizontal="center" vertical="center"/>
    </x:xf>
    <x:xf numFmtId="0" fontId="17" fillId="7" borderId="11" xfId="0" applyFont="1" applyFill="1" applyBorder="1" applyAlignment="1">
      <x:alignment horizontal="center" vertical="center"/>
    </x:xf>
    <x:xf numFmtId="0" fontId="17" fillId="7" borderId="11" xfId="0" applyFont="1" applyFill="1" applyBorder="1" applyAlignment="1">
      <x:alignment vertical="center"/>
    </x:xf>
    <x:xf numFmtId="164" fontId="17" fillId="7" borderId="11" xfId="0" applyNumberFormat="1" applyFont="1" applyFill="1" applyBorder="1" applyAlignment="1">
      <x:alignment horizontal="center" vertical="center"/>
    </x:xf>
    <x:xf numFmtId="167" fontId="17" fillId="7" borderId="11" xfId="0" applyNumberFormat="1" applyFont="1" applyFill="1" applyBorder="1" applyAlignment="1">
      <x:alignment horizontal="right" vertical="center"/>
    </x:xf>
    <x:xf numFmtId="0" fontId="17" fillId="7" borderId="1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21" fillId="8" borderId="0" xfId="0" applyNumberFormat="1" applyFont="1" applyFill="1" applyBorder="1"/>
    <x:xf numFmtId="0" fontId="21" fillId="8" borderId="12" xfId="0" applyNumberFormat="1" applyFont="1" applyFill="1" applyBorder="1"/>
    <x:xf numFmtId="0" fontId="21" fillId="8" borderId="12" xfId="0" applyNumberFormat="1" applyFont="1" applyFill="1" applyBorder="1" applyAlignment="1">
      <x:alignment horizontal="center"/>
    </x:xf>
    <x:xf numFmtId="0" fontId="21" fillId="8" borderId="12" xfId="0" applyNumberFormat="1" applyFont="1" applyFill="1" applyBorder="1" applyAlignment="1">
      <x:alignment horizontal="center" vertical="center"/>
    </x:xf>
    <x:xf numFmtId="0" fontId="22" fillId="8" borderId="0" xfId="0" applyNumberFormat="1" applyFont="1" applyFill="1" applyBorder="1"/>
    <x:xf numFmtId="0" fontId="22" fillId="8" borderId="12" xfId="0" applyNumberFormat="1" applyFont="1" applyFill="1" applyBorder="1"/>
    <x:xf numFmtId="168" fontId="22" fillId="8" borderId="12" xfId="0" applyNumberFormat="1" applyFont="1" applyFill="1" applyBorder="1"/>
    <x:xf numFmtId="168" fontId="22" fillId="8" borderId="12" xfId="0" applyNumberFormat="1" applyFont="1" applyFill="1" applyBorder="1" applyAlignment="1">
      <x:alignment horizontal="center"/>
    </x:xf>
    <x:xf numFmtId="168" fontId="22" fillId="8" borderId="12" xfId="0" applyNumberFormat="1" applyFont="1" applyFill="1" applyBorder="1" applyAlignment="1">
      <x:alignment horizontal="center" vertical="center"/>
    </x:xf>
    <x:xf numFmtId="0" fontId="23" fillId="0" borderId="0" xfId="0" applyNumberFormat="1" applyFont="1" applyFill="1" applyBorder="1"/>
    <x:xf numFmtId="0" fontId="17" fillId="4" borderId="8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3">
    <x:dxf>
      <x:font>
        <x:b/>
        <x:color rgb="FFFFFFFF"/>
      </x:font>
      <x:fill>
        <x:patternFill>
          <x:bgColor rgb="FF10B981"/>
        </x:patternFill>
      </x:fill>
      <x:border>
        <x:left style="thin">
          <x:color rgb="FF059669"/>
        </x:left>
        <x:right style="thin">
          <x:color rgb="FF059669"/>
        </x:right>
        <x:top style="thin">
          <x:color rgb="FF059669"/>
        </x:top>
        <x:bottom style="thin">
          <x:color rgb="FF059669"/>
        </x:bottom>
      </x:border>
    </x:dxf>
    <x:dxf>
      <x:font>
        <x:b/>
        <x:color rgb="FFFFFFFF"/>
      </x:font>
      <x:fill>
        <x:patternFill>
          <x:bgColor rgb="FFF59E0B"/>
        </x:patternFill>
      </x:fill>
      <x:border>
        <x:left style="thin">
          <x:color rgb="FFD97706"/>
        </x:left>
        <x:right style="thin">
          <x:color rgb="FFD97706"/>
        </x:right>
        <x:top style="thin">
          <x:color rgb="FFD97706"/>
        </x:top>
        <x:bottom style="thin">
          <x:color rgb="FFD97706"/>
        </x:bottom>
      </x:border>
    </x:dxf>
    <x:dxf>
      <x:font>
        <x:b/>
        <x:color rgb="FFFFFFFF"/>
      </x:font>
      <x:fill>
        <x:patternFill>
          <x:bgColor rgb="FFDC2626"/>
        </x:patternFill>
      </x:fill>
      <x:border>
        <x:left style="thin">
          <x:color rgb="FFB91C1C"/>
        </x:left>
        <x:right style="thin">
          <x:color rgb="FFB91C1C"/>
        </x:right>
        <x:top style="thin">
          <x:color rgb="FFB91C1C"/>
        </x:top>
        <x:bottom style="thin">
          <x:color rgb="FFB91C1C"/>
        </x:bottom>
      </x:border>
    </x:dxf>
    <x:dxf>
      <x:font>
        <x:b/>
        <x:color rgb="FFF59E0B"/>
      </x:font>
      <x:fill>
        <x:patternFill>
          <x:bgColor rgb="FF0F2747"/>
        </x:patternFill>
      </x:fill>
    </x:dxf>
    <x:dxf>
      <x:font>
        <x:b/>
        <x:color rgb="FFFFFFFF"/>
      </x:font>
      <x:fill>
        <x:patternFill>
          <x:bgColor rgb="FFDC2626"/>
        </x:patternFill>
      </x:fill>
    </x:dxf>
    <x:dxf>
      <x:font>
        <x:b/>
        <x:color rgb="FFFFFFFF"/>
      </x:font>
      <x:fill>
        <x:patternFill>
          <x:bgColor rgb="FFF59E0B"/>
        </x:patternFill>
      </x:fill>
    </x:dxf>
    <x:dxf>
      <x:font>
        <x:b/>
        <x:color rgb="FF10B981"/>
      </x:font>
      <x:fill>
        <x:patternFill>
          <x:bgColor rgb="FFDCFCE7"/>
        </x:patternFill>
      </x:fill>
    </x:dxf>
    <x:dxf>
      <x:font>
        <x:b/>
        <x:color rgb="FF2563EB"/>
      </x:font>
      <x:fill>
        <x:patternFill>
          <x:bgColor rgb="FFDBEAFE"/>
        </x:patternFill>
      </x:fill>
    </x:dxf>
    <x:dxf>
      <x:font>
        <x:b/>
        <x:color rgb="FFFFFFFF"/>
      </x:font>
      <x:fill>
        <x:patternFill>
          <x:bgColor rgb="FF2563EB"/>
        </x:patternFill>
      </x:fill>
      <x:border>
        <x:left style="medium">
          <x:color rgb="FF1D4ED8"/>
        </x:left>
        <x:right style="medium">
          <x:color rgb="FF1D4ED8"/>
        </x:right>
        <x:top style="medium">
          <x:color rgb="FF1D4ED8"/>
        </x:top>
        <x:bottom style="medium">
          <x:color rgb="FF1D4ED8"/>
        </x:bottom>
      </x:border>
    </x:dxf>
    <x:dxf>
      <x:font>
        <x:b/>
        <x:color rgb="FF991B1B"/>
      </x:font>
      <x:fill>
        <x:patternFill>
          <x:bgColor rgb="FFFEE2E2"/>
        </x:patternFill>
      </x:fill>
    </x:dxf>
    <x:dxf>
      <x:font>
        <x:b/>
        <x:color rgb="FFFFFFFF"/>
      </x:font>
      <x:fill>
        <x:patternFill>
          <x:bgColor rgb="FFDC2626"/>
        </x:patternFill>
      </x:fill>
    </x:dxf>
    <x:dxf>
      <x:font>
        <x:b/>
        <x:color rgb="FF92400E"/>
      </x:font>
      <x:fill>
        <x:patternFill>
          <x:bgColor rgb="FFFEF3C7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DC2626"/>
      </x:font>
      <x:fill>
        <x:patternFill patternType="solid">
          <x:bgColor rgb="FFFEE2E2"/>
        </x:patternFill>
      </x:fill>
    </x:dxf>
    <x:dxf>
      <x:font>
        <x:b/>
        <x:color rgb="FFDC2626"/>
      </x:font>
      <x:fill>
        <x:patternFill patternType="solid">
          <x:bgColor rgb="FFFEE2E2"/>
        </x:patternFill>
      </x:fill>
    </x:dxf>
    <x:dxf>
      <x:font>
        <x:b/>
        <x:color rgb="FFDC2626"/>
      </x:font>
      <x:fill>
        <x:patternFill patternType="solid">
          <x:bgColor rgb="FFFEE2E2"/>
        </x:patternFill>
      </x:fill>
    </x:dxf>
    <x:dxf>
      <x:font>
        <x:b/>
        <x:color rgb="FFDC2626"/>
      </x:font>
      <x:fill>
        <x:patternFill patternType="solid">
          <x:bgColor rgb="FFFEE2E2"/>
        </x:patternFill>
      </x:fill>
    </x:dxf>
    <x:dxf>
      <x:font>
        <x:b/>
        <x:color rgb="FFF59E0B"/>
      </x:font>
      <x:fill>
        <x:patternFill patternType="solid">
          <x:bgColor rgb="FF0F2747"/>
        </x:patternFill>
      </x:fill>
    </x:dxf>
    <x:dxf>
      <x:font>
        <x:b/>
        <x:color rgb="FFFFFFFF"/>
      </x:font>
      <x:fill>
        <x:patternFill patternType="solid">
          <x:bgColor rgb="FFDC2626"/>
        </x:patternFill>
      </x:fill>
    </x:dxf>
    <x:dxf>
      <x:font>
        <x:b/>
        <x:color rgb="FFFFFFFF"/>
      </x:font>
      <x:fill>
        <x:patternFill patternType="solid">
          <x:bgColor rgb="FFF59E0B"/>
        </x:patternFill>
      </x:fill>
    </x:dxf>
    <x:dxf>
      <x:font>
        <x:b/>
        <x:color rgb="FFFFFFFF"/>
      </x:font>
      <x:fill>
        <x:patternFill patternType="solid">
          <x:bgColor rgb="FF10B981"/>
        </x:patternFill>
      </x:fill>
    </x:dxf>
    <x:dxf>
      <x:font>
        <x:b/>
        <x:color rgb="FF2563EB"/>
      </x:font>
      <x:fill>
        <x:patternFill patternType="solid">
          <x:bgColor rgb="FFDBEAFE"/>
        </x:patternFill>
      </x:fill>
    </x:dxf>
    <x:dxf>
      <x:font>
        <x:b/>
        <x:color rgb="FFFFFFFF"/>
      </x:font>
      <x:fill>
        <x:patternFill patternType="solid">
          <x:bgColor rgb="FF2563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084c069ee489a" /><Relationship Type="http://schemas.openxmlformats.org/officeDocument/2006/relationships/theme" Target="/xl/theme/theme1.xml" Id="Rf341ab6e28a044bb" /><Relationship Type="http://schemas.openxmlformats.org/officeDocument/2006/relationships/sharedStrings" Target="/xl/sharedStrings.xml" Id="Rf769a0eb00ec46a4" /><Relationship Type="http://schemas.openxmlformats.org/officeDocument/2006/relationships/worksheet" Target="/xl/worksheets/sheet1.xml" Id="Rdba6992b639f4621" /><Relationship Type="http://schemas.openxmlformats.org/officeDocument/2006/relationships/worksheet" Target="/xl/worksheets/sheet2.xml" Id="Re63c3ce702fc4657" /><Relationship Type="http://schemas.openxmlformats.org/officeDocument/2006/relationships/worksheet" Target="/xl/worksheets/sheet3.xml" Id="R5e31d294f7df4c3c" /><Relationship Type="http://schemas.openxmlformats.org/officeDocument/2006/relationships/worksheet" Target="/xl/worksheets/sheet4.xml" Id="R42111cf06dee4af5" /><Relationship Type="http://schemas.openxmlformats.org/officeDocument/2006/relationships/worksheet" Target="/xl/worksheets/sheet5.xml" Id="R4dff116ccc784dfe" /><Relationship Type="http://schemas.openxmlformats.org/officeDocument/2006/relationships/worksheet" Target="/xl/worksheets/sheet6.xml" Id="Re81154175a86414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ad9dae827ea493c" /><Relationship Type="http://schemas.openxmlformats.org/officeDocument/2006/relationships/chart" Target="/xl/drawings/charts/chart2.xml" Id="R6d961123ea2f4947" /><Relationship Type="http://schemas.openxmlformats.org/officeDocument/2006/relationships/chart" Target="/xl/drawings/charts/chart3.xml" Id="R755594b70bd24aaa" /></Relationships>
</file>

<file path=xl/drawings/charts/chart1.xml><?xml version="1.0" encoding="utf-8"?>
<c:chartSpace xmlns:c="http://schemas.openxmlformats.org/drawingml/2006/chart">
  <c:lang val="en-US"/>
  <c:style val="1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00" b="1">
                <a:solidFill>
                  <a:srgbClr val="0F2747"/>
                </a:solidFill>
                <a:latin typeface="Segoe UI"/>
                <a:ea typeface="Segoe UI"/>
                <a:cs typeface="Segoe UI"/>
              </a:rPr>
              <a:t>Task Status Breakdown</a:t>
            </a:r>
          </a:p>
        </c:rich>
      </c:tx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00" b="1">
              <a:solidFill>
                <a:srgbClr val="0F2747"/>
              </a:solidFill>
              <a:latin typeface="Segoe UI"/>
              <a:ea typeface="Segoe UI"/>
              <a:cs typeface="Segoe UI"/>
            </a:defRPr>
          </a:pPr>
        </a:p>
      </c:txPr>
    </c:title>
    <c:plotArea>
      <c:doughnutChart>
        <c:ser>
          <c:idx val="0"/>
          <c:order val="0"/>
          <c:tx>
            <c:v>Task Status Distribution</c:v>
          </c:tx>
          <c:dPt>
            <c:idx val="0"/>
            <c:spPr>
              <a:solidFill xmlns:a="http://schemas.openxmlformats.org/drawingml/2006/main">
                <a:srgbClr val="10B981"/>
              </a:solidFill>
            </c:spPr>
          </c:dPt>
          <c:dPt>
            <c:idx val="1"/>
            <c:spPr>
              <a:solidFill xmlns:a="http://schemas.openxmlformats.org/drawingml/2006/main">
                <a:srgbClr val="2563EB"/>
              </a:solidFill>
            </c:spPr>
          </c:dPt>
          <c:dPt>
            <c:idx val="2"/>
            <c:spPr>
              <a:solidFill xmlns:a="http://schemas.openxmlformats.org/drawingml/2006/main">
                <a:srgbClr val="94A3B8"/>
              </a:solidFill>
            </c:spPr>
          </c:dPt>
          <c:dPt>
            <c:idx val="3"/>
            <c:spPr>
              <a:solidFill xmlns:a="http://schemas.openxmlformats.org/drawingml/2006/main">
                <a:srgbClr val="DC2626"/>
              </a:solidFill>
            </c:spPr>
          </c:dPt>
          <c:dPt>
            <c:idx val="4"/>
            <c:spPr>
              <a:solidFill xmlns:a="http://schemas.openxmlformats.org/drawingml/2006/main">
                <a:srgbClr val="F59E0B"/>
              </a:solidFill>
            </c:spPr>
          </c:dPt>
          <c:cat>
            <c:strRef>
              <c:f>Settings!$M$15:$M$19</c:f>
              <c:strCache>
                <c:ptCount val="5"/>
                <c:pt idx="0">
                  <c:v>Completed</c:v>
                </c:pt>
                <c:pt idx="1">
                  <c:v>In Progress</c:v>
                </c:pt>
                <c:pt idx="2">
                  <c:v>Not Started</c:v>
                </c:pt>
                <c:pt idx="3">
                  <c:v>Blocked</c:v>
                </c:pt>
                <c:pt idx="4">
                  <c:v>On Hold</c:v>
                </c:pt>
              </c:strCache>
            </c:strRef>
          </c:cat>
          <c:val>
            <c:numRef>
              <c:f>Settings!$N$15:$N$19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firstSliceAng val="0"/>
        <c:holeSize val="58"/>
      </c:doughnutChart>
      <c:spPr>
        <a:solidFill xmlns:a="http://schemas.openxmlformats.org/drawingml/2006/main">
          <a:srgbClr val="FFFFFF"/>
        </a:solidFill>
        <a:ln xmlns:a="http://schemas.openxmlformats.org/drawingml/2006/main">
          <a:noFill/>
        </a:ln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00">
              <a:latin typeface="Segoe UI"/>
              <a:ea typeface="Segoe UI"/>
              <a:cs typeface="Segoe UI"/>
            </a:defRPr>
          </a:pPr>
        </a:p>
      </c:txPr>
    </c:legend>
    <c:plotVisOnly val="1"/>
  </c:chart>
  <c:spPr>
    <a:solidFill xmlns:a="http://schemas.openxmlformats.org/drawingml/2006/main">
      <a:srgbClr val="FFFFFF"/>
    </a:solidFill>
    <a:ln xmlns:a="http://schemas.openxmlformats.org/drawingml/2006/main" w="12700">
      <a:solidFill>
        <a:srgbClr val="DCE3EC"/>
      </a:solidFill>
    </a:ln>
  </c:spPr>
</c:chartSpace>
</file>

<file path=xl/drawings/charts/chart2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00" b="1">
                <a:solidFill>
                  <a:srgbClr val="0F2747"/>
                </a:solidFill>
                <a:latin typeface="Segoe UI"/>
                <a:ea typeface="Segoe UI"/>
                <a:cs typeface="Segoe UI"/>
              </a:rPr>
              <a:t>Completion % by Project Phase</a:t>
            </a:r>
          </a:p>
        </c:rich>
      </c:tx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00" b="1">
              <a:solidFill>
                <a:srgbClr val="0F2747"/>
              </a:solidFill>
              <a:latin typeface="Segoe UI"/>
              <a:ea typeface="Segoe UI"/>
              <a:cs typeface="Segoe UI"/>
            </a:defRPr>
          </a:pPr>
        </a:p>
      </c:txPr>
    </c:title>
    <c:plotArea>
      <c:barChart>
        <c:barDir val="bar"/>
        <c:grouping val="clustered"/>
        <c:varyColors val="0"/>
        <c:ser>
          <c:idx val="0"/>
          <c:order val="0"/>
          <c:tx>
            <c:v>Phase Completion %</c:v>
          </c:tx>
          <c:spPr>
            <a:solidFill xmlns:a="http://schemas.openxmlformats.org/drawingml/2006/main">
              <a:srgbClr val="2563EB"/>
            </a:solidFill>
            <a:ln xmlns:a="http://schemas.openxmlformats.org/drawingml/2006/main">
              <a:solidFill>
                <a:srgbClr val="1D4ED8"/>
              </a:solidFill>
            </a:ln>
          </c:spPr>
          <c:dLbls>
            <c:numFmt formatCode="0%" sourceLinked="0"/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800">
                    <a:solidFill>
                      <a:srgbClr val="172033"/>
                    </a:solidFill>
                    <a:latin typeface="Segoe UI"/>
                    <a:ea typeface="Segoe UI"/>
                    <a:cs typeface="Segoe UI"/>
                  </a:defRPr>
                </a:pPr>
              </a:p>
            </c:txPr>
            <c:showVal val="1"/>
          </c:dLbls>
          <c:cat>
            <c:strRef>
              <c:f>Settings!$M$24:$M$29</c:f>
              <c:strCache>
                <c:ptCount val="6"/>
                <c:pt idx="0">
                  <c:v>Discovery</c:v>
                </c:pt>
                <c:pt idx="1">
                  <c:v>Planning</c:v>
                </c:pt>
                <c:pt idx="2">
                  <c:v>Design</c:v>
                </c:pt>
                <c:pt idx="3">
                  <c:v>Build</c:v>
                </c:pt>
                <c:pt idx="4">
                  <c:v>Testing</c:v>
                </c:pt>
                <c:pt idx="5">
                  <c:v>Launch</c:v>
                </c:pt>
              </c:strCache>
            </c:strRef>
          </c:cat>
          <c:val>
            <c:numRef>
              <c:f>Settings!$P$24:$P$29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axMin"/>
        </c:scaling>
        <c:delete val="0"/>
        <c:axPos val="l"/>
        <c:numFmt formatCode="General"/>
        <c:majorTickMark val="none"/>
        <c:minorTickMark val="none"/>
        <c:tickLblPos val="nextTo"/>
        <c:crossAx val="50020002"/>
        <c:crosses val="autoZero"/>
        <c:lblOffset val="100"/>
      </c:catAx>
      <c:valAx>
        <c:axId val="50020002"/>
        <c:scaling>
          <c:orientation val="minMax"/>
          <c:max val="1"/>
          <c:min val="0"/>
        </c:scaling>
        <c:delete val="0"/>
        <c:axPos val="b"/>
        <c:majorGridlines>
          <c:spPr>
            <a:ln xmlns:a="http://schemas.openxmlformats.org/drawingml/2006/main">
              <a:solidFill>
                <a:srgbClr val="F1F5F9"/>
              </a:solidFill>
            </a:ln>
          </c:spPr>
        </c:majorGridlines>
        <c:numFmt formatCode="0%" sourceLinked="0"/>
        <c:majorTickMark val="none"/>
        <c:minorTickMark val="none"/>
        <c:tickLblPos val="nextTo"/>
        <c:crossAx val="50020001"/>
        <c:crosses val="autoZero"/>
        <c:crossBetween val="between"/>
      </c:valAx>
      <c:spPr>
        <a:solidFill xmlns:a="http://schemas.openxmlformats.org/drawingml/2006/main">
          <a:srgbClr val="FFFFFF"/>
        </a:solidFill>
        <a:ln xmlns:a="http://schemas.openxmlformats.org/drawingml/2006/main">
          <a:noFill/>
        </a:ln>
      </c:spPr>
    </c:plotArea>
    <c:plotVisOnly val="1"/>
  </c:chart>
  <c:spPr>
    <a:solidFill xmlns:a="http://schemas.openxmlformats.org/drawingml/2006/main">
      <a:srgbClr val="FFFFFF"/>
    </a:solidFill>
    <a:ln xmlns:a="http://schemas.openxmlformats.org/drawingml/2006/main" w="12700">
      <a:solidFill>
        <a:srgbClr val="DCE3EC"/>
      </a:solidFill>
    </a:ln>
  </c:spPr>
</c:chartSpace>
</file>

<file path=xl/drawings/charts/chart3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00" b="1">
                <a:solidFill>
                  <a:srgbClr val="0F2747"/>
                </a:solidFill>
                <a:latin typeface="Segoe UI"/>
                <a:ea typeface="Segoe UI"/>
                <a:cs typeface="Segoe UI"/>
              </a:rPr>
              <a:t>Planned vs Completed Tasks by Phase</a:t>
            </a:r>
          </a:p>
        </c:rich>
      </c:tx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00" b="1">
              <a:solidFill>
                <a:srgbClr val="0F2747"/>
              </a:solidFill>
              <a:latin typeface="Segoe UI"/>
              <a:ea typeface="Segoe UI"/>
              <a:cs typeface="Segoe UI"/>
            </a:defRPr>
          </a:pPr>
        </a:p>
      </c:txPr>
    </c:title>
    <c:plotArea>
      <c:barChart>
        <c:barDir val="col"/>
        <c:grouping val="clustered"/>
        <c:varyColors val="0"/>
        <c:ser>
          <c:idx val="0"/>
          <c:order val="0"/>
          <c:tx>
            <c:v>Total Planned Tasks</c:v>
          </c:tx>
          <c:spPr>
            <a:solidFill xmlns:a="http://schemas.openxmlformats.org/drawingml/2006/main">
              <a:srgbClr val="93C5FD"/>
            </a:solidFill>
            <a:ln xmlns:a="http://schemas.openxmlformats.org/drawingml/2006/main">
              <a:solidFill>
                <a:srgbClr val="60A5FA"/>
              </a:solidFill>
            </a:ln>
          </c:spPr>
          <c:cat>
            <c:strRef>
              <c:f>Settings!$M$24:$M$29</c:f>
              <c:strCache>
                <c:ptCount val="6"/>
                <c:pt idx="0">
                  <c:v>Discovery</c:v>
                </c:pt>
                <c:pt idx="1">
                  <c:v>Planning</c:v>
                </c:pt>
                <c:pt idx="2">
                  <c:v>Design</c:v>
                </c:pt>
                <c:pt idx="3">
                  <c:v>Build</c:v>
                </c:pt>
                <c:pt idx="4">
                  <c:v>Testing</c:v>
                </c:pt>
                <c:pt idx="5">
                  <c:v>Launch</c:v>
                </c:pt>
              </c:strCache>
            </c:strRef>
          </c:cat>
          <c:val>
            <c:numRef>
              <c:f>Settings!$N$24:$N$29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v>Completed Tasks</c:v>
          </c:tx>
          <c:spPr>
            <a:solidFill xmlns:a="http://schemas.openxmlformats.org/drawingml/2006/main">
              <a:srgbClr val="10B981"/>
            </a:solidFill>
            <a:ln xmlns:a="http://schemas.openxmlformats.org/drawingml/2006/main">
              <a:solidFill>
                <a:srgbClr val="059669"/>
              </a:solidFill>
            </a:ln>
          </c:spPr>
          <c:cat>
            <c:strRef>
              <c:f>Settings!$M$24:$M$29</c:f>
              <c:strCache>
                <c:ptCount val="6"/>
                <c:pt idx="0">
                  <c:v>Discovery</c:v>
                </c:pt>
                <c:pt idx="1">
                  <c:v>Planning</c:v>
                </c:pt>
                <c:pt idx="2">
                  <c:v>Design</c:v>
                </c:pt>
                <c:pt idx="3">
                  <c:v>Build</c:v>
                </c:pt>
                <c:pt idx="4">
                  <c:v>Testing</c:v>
                </c:pt>
                <c:pt idx="5">
                  <c:v>Launch</c:v>
                </c:pt>
              </c:strCache>
            </c:strRef>
          </c:cat>
          <c:val>
            <c:numRef>
              <c:f>Settings!$O$24:$O$29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axId val="50030001"/>
        <c:axId val="50030002"/>
      </c:barChart>
      <c:catAx>
        <c:axId val="50030001"/>
        <c:scaling>
          <c:orientation val="minMax"/>
        </c:scaling>
        <c:delete val="0"/>
        <c:axPos val="b"/>
        <c:numFmt formatCode="General"/>
        <c:majorTickMark val="none"/>
        <c:minorTickMark val="none"/>
        <c:tickLblPos val="nextTo"/>
        <c:crossAx val="50030002"/>
        <c:crosses val="autoZero"/>
        <c:lblOffset val="100"/>
      </c:catAx>
      <c:valAx>
        <c:axId val="50030002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F1F5F9"/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crossAx val="50030001"/>
        <c:crosses val="autoZero"/>
        <c:crossBetween val="between"/>
      </c:valAx>
      <c:spPr>
        <a:solidFill xmlns:a="http://schemas.openxmlformats.org/drawingml/2006/main">
          <a:srgbClr val="FFFFFF"/>
        </a:solidFill>
        <a:ln xmlns:a="http://schemas.openxmlformats.org/drawingml/2006/main">
          <a:noFill/>
        </a:ln>
      </c:spPr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00">
              <a:latin typeface="Segoe UI"/>
              <a:ea typeface="Segoe UI"/>
              <a:cs typeface="Segoe UI"/>
            </a:defRPr>
          </a:pPr>
        </a:p>
      </c:txPr>
    </c:legend>
    <c:plotVisOnly val="1"/>
  </c:chart>
  <c:spPr>
    <a:solidFill xmlns:a="http://schemas.openxmlformats.org/drawingml/2006/main">
      <a:srgbClr val="FFFFFF"/>
    </a:solidFill>
    <a:ln xmlns:a="http://schemas.openxmlformats.org/drawingml/2006/main" w="12700">
      <a:solidFill>
        <a:srgbClr val="DCE3EC"/>
      </a:solidFill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16</xdr:row>
      <xdr:rowOff>0</xdr:rowOff>
    </xdr:from>
    <xdr:to>
      <xdr:col>3</xdr:col>
      <xdr:colOff>1123950</xdr:colOff>
      <xdr:row>27</xdr:row>
      <xdr:rowOff>142875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ad9dae827ea493c"/>
        </a:graphicData>
      </a:graphic>
    </xdr:graphicFrame>
    <xdr:clientData/>
  </xdr:twoCellAnchor>
  <xdr:twoCellAnchor>
    <xdr:from>
      <xdr:col>6</xdr:col>
      <xdr:colOff>0</xdr:colOff>
      <xdr:row>16</xdr:row>
      <xdr:rowOff>0</xdr:rowOff>
    </xdr:from>
    <xdr:to>
      <xdr:col>9</xdr:col>
      <xdr:colOff>390525</xdr:colOff>
      <xdr:row>27</xdr:row>
      <xdr:rowOff>142875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d961123ea2f4947"/>
        </a:graphicData>
      </a:graphic>
    </xdr:graphicFrame>
    <xdr:clientData/>
  </xdr:twoCellAnchor>
  <xdr:twoCellAnchor>
    <xdr:from>
      <xdr:col>12</xdr:col>
      <xdr:colOff>0</xdr:colOff>
      <xdr:row>16</xdr:row>
      <xdr:rowOff>0</xdr:rowOff>
    </xdr:from>
    <xdr:to>
      <xdr:col>15</xdr:col>
      <xdr:colOff>581025</xdr:colOff>
      <xdr:row>27</xdr:row>
      <xdr:rowOff>142875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55594b70bd24aa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blTasks" displayName="tblTasks" ref="B9:R50" headerRowCount="1" totalsRowCount="0" totalsRowShown="0">
  <x:autoFilter ref="B9:R50"/>
  <x:tableColumns count="17">
    <x:tableColumn id="1" name="Task ID"/>
    <x:tableColumn id="2" name="Phase"/>
    <x:tableColumn id="3" name="Task Name"/>
    <x:tableColumn id="4" name="Description"/>
    <x:tableColumn id="5" name="Owner"/>
    <x:tableColumn id="6" name="Start Date"/>
    <x:tableColumn id="7" name="End Date"/>
    <x:tableColumn id="8" name="Duration"/>
    <x:tableColumn id="9" name="Status"/>
    <x:tableColumn id="10" name="Priority"/>
    <x:tableColumn id="11" name="Completion %"/>
    <x:tableColumn id="12" name="Dependency Task ID"/>
    <x:tableColumn id="13" name="Milestone"/>
    <x:tableColumn id="14" name="Actual Completion Date"/>
    <x:tableColumn id="15" name="Days Remaining"/>
    <x:tableColumn id="16" name="Schedule Status"/>
    <x:tableColumn id="1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1d827974c82432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c32a0b5918ce425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.7109375" customWidth="1"/>
    <x:col min="2" max="2" width="12.7109375" customWidth="1"/>
    <x:col min="3" max="3" width="21" hidden="0" customWidth="1"/>
    <x:col min="4" max="4" width="30" hidden="0" customWidth="1"/>
    <x:col min="5" max="5" width="15.7109375" customWidth="1"/>
    <x:col min="6" max="7" width="13.7109375" customWidth="1"/>
    <x:col min="8" max="8" width="14.7109375" customWidth="1"/>
    <x:col min="9" max="9" width="15.7109375" customWidth="1"/>
    <x:col min="10" max="10" width="45" hidden="0" customWidth="1"/>
    <x:col min="11" max="15" width="14.7109375" customWidth="1"/>
    <x:col min="16" max="19" width="12.7109375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1" hidden="0" customWidth="1"/>
    <x:col min="16" max="16" width="11" hidden="0" customWidth="1"/>
    <x:col min="17" max="17" width="11" hidden="0" customWidth="1"/>
    <x:col min="18" max="18" width="11" hidden="0" customWidth="1"/>
    <x:col min="19" max="19" width="11" hidden="0" customWidth="1"/>
  </x:cols>
  <x:sheetData>
    <x:row r="2" ht="24" customHeight="1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</x:row>
    <x:row r="3" ht="22" customHeight="1">
      <x:c r="B3" s="2" t="s">
        <x:v>1</x:v>
      </x:c>
      <x:c r="C3" s="3" t="s">
        <x:v>2</x:v>
      </x:c>
      <x:c r="D3" s="3" t="s">
        <x:v>3</x:v>
      </x:c>
      <x:c r="E3" s="3" t="s">
        <x:v>4</x:v>
      </x:c>
      <x:c r="F3" s="3" t="s">
        <x:v>5</x:v>
      </x:c>
      <x:c r="G3" s="3" t="s">
        <x:v>6</x:v>
      </x:c>
    </x:row>
    <x:row r="4">
      <x:c r="B4" s="4" t="s">
        <x:v>7</x:v>
      </x:c>
    </x:row>
    <x:row r="5">
      <x:c r="B5" s="5" t="s">
        <x:v>8</x:v>
      </x:c>
    </x:row>
    <x:row r="6" ht="22" customHeight="1">
      <x:c r="B6" s="6" t="s">
        <x:v>9</x:v>
      </x:c>
      <x:c r="C6" s="7" t="str">
        <x:f>Settings!$D$5</x:f>
        <x:v>Customer Portal Launch</x:v>
      </x:c>
      <x:c r="D6" s="6" t="s">
        <x:v>10</x:v>
      </x:c>
      <x:c r="E6" s="7" t="str">
        <x:f>Settings!$D$6</x:f>
        <x:v>Alex Morgan, PMP</x:v>
      </x:c>
      <x:c r="F6" s="6" t="s">
        <x:v>11</x:v>
      </x:c>
      <x:c r="G6" s="8" t="n">
        <x:f>Settings!$D$7</x:f>
        <x:v>46300</x:v>
      </x:c>
      <x:c r="H6" s="6" t="s">
        <x:v>12</x:v>
      </x:c>
      <x:c r="I6" s="8" t="n">
        <x:f>Settings!$D$8</x:f>
        <x:v>46402</x:v>
      </x:c>
      <x:c r="J6" s="6" t="s">
        <x:v>13</x:v>
      </x:c>
      <x:c r="K6" s="8" t="n">
        <x:f>Settings!$D$9</x:f>
        <x:v>46336</x:v>
      </x:c>
      <x:c r="L6" s="6" t="s">
        <x:v>14</x:v>
      </x:c>
      <x:c r="M6" s="9" t="str">
        <x:f>Settings!$D$10</x:f>
        <x:v>At Risk</x:v>
      </x:c>
    </x:row>
    <x:row r="8">
      <x:c r="B8" s="10" t="s">
        <x:v>15</x:v>
      </x:c>
      <x:c r="C8" s="10"/>
      <x:c r="D8" s="10" t="s">
        <x:v>16</x:v>
      </x:c>
      <x:c r="E8" s="10"/>
      <x:c r="F8" s="10" t="s">
        <x:v>17</x:v>
      </x:c>
      <x:c r="G8" s="10"/>
      <x:c r="H8" s="10" t="s">
        <x:v>18</x:v>
      </x:c>
      <x:c r="I8" s="10"/>
      <x:c r="K8" s="11" t="s">
        <x:v>19</x:v>
      </x:c>
      <x:c r="L8" s="11"/>
      <x:c r="M8" s="11"/>
      <x:c r="N8" s="11"/>
      <x:c r="O8" s="11"/>
      <x:c r="P8" s="11"/>
      <x:c r="Q8" s="11"/>
      <x:c r="R8" s="11"/>
      <x:c r="S8" s="11"/>
    </x:row>
    <x:row r="9" ht="26" customHeight="1">
      <x:c r="B9" s="12" t="n">
        <x:f>COUNTA(tblTasks[Task ID])</x:f>
        <x:v>18</x:v>
      </x:c>
      <x:c r="C9" s="12"/>
      <x:c r="D9" s="13" t="n">
        <x:f>COUNTIF(tblTasks[Status], "Completed")</x:f>
        <x:v>5</x:v>
      </x:c>
      <x:c r="E9" s="13"/>
      <x:c r="F9" s="12" t="n">
        <x:f>COUNTIF(tblTasks[Status], "In Progress")</x:f>
        <x:v>3</x:v>
      </x:c>
      <x:c r="G9" s="12"/>
      <x:c r="H9" s="12" t="n">
        <x:f>COUNTIF(tblTasks[Status], "Not Started")</x:f>
        <x:v>9</x:v>
      </x:c>
      <x:c r="I9" s="12"/>
      <x:c r="K9" s="14" t="str">
        <x:f>"PROJECT STATUS: "&amp;UPPER(Settings!$D$10)&amp;CHAR(10)&amp;CHAR(10)&amp;"Overdue tasks: "&amp;B13&amp;CHAR(10)&amp;"Blocked tasks: "&amp;D13&amp;CHAR(10)&amp;"Overall completion: "&amp;TEXT(F13,"0.0%")&amp;CHAR(10)&amp;"Elapsed schedule: "&amp;TEXT(MAX(0,MIN(1,(Settings!$D$9-Settings!$D$7)/MAX(1,Settings!$D$8-Settings!$D$7))),"0.0%")&amp;CHAR(10)&amp;CHAR(10)&amp;"Review the action list and Task List warnings before updating the plan."</x:f>
        <x:v>PROJECT STATUS: AT RISK
Overdue tasks: 1
Blocked tasks: 1
Overall completion: 37.8%
Elapsed schedule: 35.3%
Review the action list and Task List warnings before updating the plan.</x:v>
      </x:c>
      <x:c r="L9" s="14"/>
      <x:c r="M9" s="14"/>
      <x:c r="N9" s="14"/>
      <x:c r="O9" s="14"/>
      <x:c r="P9" s="14"/>
      <x:c r="Q9" s="14"/>
      <x:c r="R9" s="14"/>
      <x:c r="S9" s="14"/>
    </x:row>
    <x:row r="10">
      <x:c r="B10" s="15" t="s">
        <x:v>20</x:v>
      </x:c>
      <x:c r="C10" s="15"/>
      <x:c r="D10" s="15" t="s">
        <x:v>21</x:v>
      </x:c>
      <x:c r="E10" s="15"/>
      <x:c r="F10" s="15" t="s">
        <x:v>22</x:v>
      </x:c>
      <x:c r="G10" s="15"/>
      <x:c r="H10" s="15" t="s">
        <x:v>23</x:v>
      </x:c>
      <x:c r="I10" s="15"/>
      <x:c r="K10" s="14"/>
      <x:c r="L10" s="14"/>
      <x:c r="M10" s="14"/>
      <x:c r="N10" s="14"/>
      <x:c r="O10" s="14"/>
      <x:c r="P10" s="14"/>
      <x:c r="Q10" s="14"/>
      <x:c r="R10" s="14"/>
      <x:c r="S10" s="14"/>
    </x:row>
    <x:row r="11">
      <x:c r="K11" s="14"/>
      <x:c r="L11" s="14"/>
      <x:c r="M11" s="14"/>
      <x:c r="N11" s="14"/>
      <x:c r="O11" s="14"/>
      <x:c r="P11" s="14"/>
      <x:c r="Q11" s="14"/>
      <x:c r="R11" s="14"/>
      <x:c r="S11" s="14"/>
    </x:row>
    <x:row r="12">
      <x:c r="B12" s="10" t="s">
        <x:v>24</x:v>
      </x:c>
      <x:c r="C12" s="10"/>
      <x:c r="D12" s="10" t="s">
        <x:v>25</x:v>
      </x:c>
      <x:c r="E12" s="10"/>
      <x:c r="F12" s="10" t="s">
        <x:v>26</x:v>
      </x:c>
      <x:c r="G12" s="10"/>
      <x:c r="H12" s="10" t="s">
        <x:v>27</x:v>
      </x:c>
      <x:c r="I12" s="10"/>
      <x:c r="K12" s="14"/>
      <x:c r="L12" s="14"/>
      <x:c r="M12" s="14"/>
      <x:c r="N12" s="14"/>
      <x:c r="O12" s="14"/>
      <x:c r="P12" s="14"/>
      <x:c r="Q12" s="14"/>
      <x:c r="R12" s="14"/>
      <x:c r="S12" s="14"/>
    </x:row>
    <x:row r="13" ht="26" customHeight="1">
      <x:c r="B13" s="16" t="n">
        <x:f>COUNTIF(tblTasks[Schedule Status], "Overdue")</x:f>
        <x:v>1</x:v>
      </x:c>
      <x:c r="C13" s="16"/>
      <x:c r="D13" s="17" t="n">
        <x:f>COUNTIF(tblTasks[Status], "Blocked")</x:f>
        <x:v>1</x:v>
      </x:c>
      <x:c r="E13" s="17"/>
      <x:c r="F13" s="18" t="n">
        <x:f>AVERAGE(tblTasks[Completion %])</x:f>
        <x:v>0.37777777777777777</x:v>
      </x:c>
      <x:c r="G13" s="18"/>
      <x:c r="H13" s="12" t="n">
        <x:f>MAX(0, Settings!$D$8-Settings!$D$9)</x:f>
        <x:v>66</x:v>
      </x:c>
      <x:c r="I13" s="12"/>
      <x:c r="K13" s="14"/>
      <x:c r="L13" s="14"/>
      <x:c r="M13" s="14"/>
      <x:c r="N13" s="14"/>
      <x:c r="O13" s="14"/>
      <x:c r="P13" s="14"/>
      <x:c r="Q13" s="14"/>
      <x:c r="R13" s="14"/>
      <x:c r="S13" s="14"/>
    </x:row>
    <x:row r="14">
      <x:c r="B14" s="15" t="s">
        <x:v>28</x:v>
      </x:c>
      <x:c r="C14" s="15"/>
      <x:c r="D14" s="15" t="s">
        <x:v>29</x:v>
      </x:c>
      <x:c r="E14" s="15"/>
      <x:c r="F14" s="15" t="s">
        <x:v>30</x:v>
      </x:c>
      <x:c r="G14" s="15"/>
      <x:c r="H14" s="15" t="s">
        <x:v>31</x:v>
      </x:c>
      <x:c r="I14" s="15"/>
      <x:c r="K14" s="14"/>
      <x:c r="L14" s="14"/>
      <x:c r="M14" s="14"/>
      <x:c r="N14" s="14"/>
      <x:c r="O14" s="14"/>
      <x:c r="P14" s="14"/>
      <x:c r="Q14" s="14"/>
      <x:c r="R14" s="14"/>
      <x:c r="S14" s="14"/>
    </x:row>
    <x:row r="16">
      <x:c r="B16" s="19" t="s">
        <x:v>32</x:v>
      </x:c>
    </x:row>
    <x:row r="31">
      <x:c r="B31" s="19" t="str">
        <x:v>TOP OVERDUE &amp; BLOCKED TASKS (ACTION REQUIRED)</x:v>
      </x:c>
    </x:row>
    <x:row r="32" ht="24" customHeight="1">
      <x:c r="B32" s="20" t="s">
        <x:v>33</x:v>
      </x:c>
      <x:c r="C32" s="20" t="s">
        <x:v>34</x:v>
      </x:c>
      <x:c r="D32" s="20" t="s">
        <x:v>35</x:v>
      </x:c>
      <x:c r="E32" s="20" t="s">
        <x:v>36</x:v>
      </x:c>
      <x:c r="F32" s="20" t="s">
        <x:v>37</x:v>
      </x:c>
      <x:c r="G32" s="20" t="s">
        <x:v>38</x:v>
      </x:c>
      <x:c r="H32" s="20" t="s">
        <x:v>39</x:v>
      </x:c>
      <x:c r="I32" s="20" t="s">
        <x:v>40</x:v>
      </x:c>
      <x:c r="J32" s="20" t="s">
        <x:v>41</x:v>
      </x:c>
    </x:row>
    <x:row r="33" ht="32" customHeight="1">
      <x:c r="B33" s="21" t="str">
        <x:f>IF(SMALL(Settings!$T$9:$T$49,1)&gt;=1E+99,"",IFERROR(INDEX(tblTasks[Task ID],MATCH(SMALL(Settings!$T$9:$T$49,1),Settings!$T$9:$T$49,0)),""))</x:f>
        <x:v>TSK-05</x:v>
      </x:c>
      <x:c r="C33" s="22" t="str">
        <x:f>IF($B33="","",INDEX(tblTasks[Phase],MATCH($B33,tblTasks[Task ID],0)))</x:f>
        <x:v>Planning</x:v>
      </x:c>
      <x:c r="D33" s="48" t="str">
        <x:f>IF($B33="","",INDEX(tblTasks[Task Name],MATCH($B33,tblTasks[Task ID],0)))</x:f>
        <x:v>Content Taxonomy &amp; Helpdesk Schema</x:v>
      </x:c>
      <x:c r="E33" s="23" t="str">
        <x:f>IF($B33="","",INDEX(tblTasks[Owner],MATCH($B33,tblTasks[Task ID],0)))</x:f>
        <x:v>Elena Rostova</x:v>
      </x:c>
      <x:c r="F33" s="24" t="n">
        <x:f>IF($B33="","",INDEX(tblTasks[End Date],MATCH($B33,tblTasks[Task ID],0)))</x:f>
        <x:v>46330</x:v>
      </x:c>
      <x:c r="G33" s="22" t="str">
        <x:f>IF($B33="","",INDEX(tblTasks[Status],MATCH($B33,tblTasks[Task ID],0)))</x:f>
        <x:v>In Progress</x:v>
      </x:c>
      <x:c r="H33" s="21" t="str">
        <x:f>IF($B33="","",INDEX(tblTasks[Priority],MATCH($B33,tblTasks[Task ID],0)))</x:f>
        <x:v>High</x:v>
      </x:c>
      <x:c r="I33" s="16" t="str">
        <x:f>IF($B33="","",INDEX(tblTasks[Schedule Status],MATCH($B33,tblTasks[Task ID],0)))</x:f>
        <x:v>Overdue</x:v>
      </x:c>
      <x:c r="J33" s="48" t="str">
        <x:f>IF($B33="","",INDEX(tblTasks[Notes],MATCH($B33,tblTasks[Task ID],0)))</x:f>
        <x:v>Delayed review by legal; overdue relative to reporting date.</x:v>
      </x:c>
    </x:row>
    <x:row r="34" ht="32" customHeight="1">
      <x:c r="B34" s="21" t="str">
        <x:f>IF(SMALL(Settings!$T$9:$T$49,2)&gt;=1E+99,"",IFERROR(INDEX(tblTasks[Task ID],MATCH(SMALL(Settings!$T$9:$T$49,2),Settings!$T$9:$T$49,0)),""))</x:f>
        <x:v>TSK-12</x:v>
      </x:c>
      <x:c r="C34" s="22" t="str">
        <x:f>IF($B34="","",INDEX(tblTasks[Phase],MATCH($B34,tblTasks[Task ID],0)))</x:f>
        <x:v>Build</x:v>
      </x:c>
      <x:c r="D34" s="48" t="str">
        <x:f>IF($B34="","",INDEX(tblTasks[Task Name],MATCH($B34,tblTasks[Task ID],0)))</x:f>
        <x:v>Billing &amp; Payment Gateway API</x:v>
      </x:c>
      <x:c r="E34" s="23" t="str">
        <x:f>IF($B34="","",INDEX(tblTasks[Owner],MATCH($B34,tblTasks[Task ID],0)))</x:f>
        <x:v>David Kim</x:v>
      </x:c>
      <x:c r="F34" s="24" t="n">
        <x:f>IF($B34="","",INDEX(tblTasks[End Date],MATCH($B34,tblTasks[Task ID],0)))</x:f>
        <x:v>46374</x:v>
      </x:c>
      <x:c r="G34" s="22" t="str">
        <x:f>IF($B34="","",INDEX(tblTasks[Status],MATCH($B34,tblTasks[Task ID],0)))</x:f>
        <x:v>Blocked</x:v>
      </x:c>
      <x:c r="H34" s="21" t="str">
        <x:f>IF($B34="","",INDEX(tblTasks[Priority],MATCH($B34,tblTasks[Task ID],0)))</x:f>
        <x:v>Critical</x:v>
      </x:c>
      <x:c r="I34" s="17" t="str">
        <x:f>IF($B34="","",INDEX(tblTasks[Schedule Status],MATCH($B34,tblTasks[Task ID],0)))</x:f>
        <x:v>Blocked</x:v>
      </x:c>
      <x:c r="J34" s="48" t="str">
        <x:f>IF($B34="","",INDEX(tblTasks[Notes],MATCH($B34,tblTasks[Task ID],0)))</x:f>
        <x:v>BLOCKED: Awaiting corporate merchant account verification.</x:v>
      </x:c>
    </x:row>
    <x:row r="36">
      <x:c r="B36" s="19" t="str">
        <x:v>UPCOMING KEY MILESTONES (NEXT FOUR TARGETS)</x:v>
      </x:c>
    </x:row>
    <x:row r="37" ht="24" customHeight="1">
      <x:c r="B37" s="11" t="s">
        <x:v>42</x:v>
      </x:c>
      <x:c r="C37" s="20" t="s">
        <x:v>43</x:v>
      </x:c>
      <x:c r="D37" s="20" t="s">
        <x:v>34</x:v>
      </x:c>
      <x:c r="E37" s="20" t="s">
        <x:v>44</x:v>
      </x:c>
      <x:c r="F37" s="20" t="s">
        <x:v>36</x:v>
      </x:c>
      <x:c r="G37" s="20" t="s">
        <x:v>38</x:v>
      </x:c>
      <x:c r="H37" s="20" t="s">
        <x:v>45</x:v>
      </x:c>
      <x:c r="I37" s="20" t="s">
        <x:v>46</x:v>
      </x:c>
    </x:row>
    <x:row r="38" ht="28" customHeight="1">
      <x:c r="B38" s="21" t="str">
        <x:f>IF(C38="","","M-"&amp;TEXT(1,"00"))</x:f>
        <x:v>M-01</x:v>
      </x:c>
      <x:c r="C38" s="48" t="str">
        <x:f>IF(SMALL(Settings!$U$9:$U$49,1)&gt;=1E+99,"",IFERROR(INDEX(tblTasks[Task Name],MATCH(SMALL(Settings!$U$9:$U$49,1),Settings!$U$9:$U$49,0)),""))</x:f>
        <x:v>Client Prototype Review &amp; Approval</x:v>
      </x:c>
      <x:c r="D38" s="22" t="str">
        <x:f>IF($C38="","",INDEX(tblTasks[Phase],MATCH(SMALL(Settings!$U$9:$U$49,1),Settings!$U$9:$U$49,0)))</x:f>
        <x:v>Design</x:v>
      </x:c>
      <x:c r="E38" s="24" t="n">
        <x:f>IF($C38="","",INDEX(tblTasks[End Date],MATCH(SMALL(Settings!$U$9:$U$49,1),Settings!$U$9:$U$49,0)))</x:f>
        <x:v>46346</x:v>
      </x:c>
      <x:c r="F38" s="23" t="str">
        <x:f>IF($C38="","",INDEX(tblTasks[Owner],MATCH(SMALL(Settings!$U$9:$U$49,1),Settings!$U$9:$U$49,0)))</x:f>
        <x:v>Alex Morgan</x:v>
      </x:c>
      <x:c r="G38" s="22" t="str">
        <x:f>IF($C38="","",INDEX(tblTasks[Status],MATCH(SMALL(Settings!$U$9:$U$49,1),Settings!$U$9:$U$49,0)))</x:f>
        <x:v>Not Started</x:v>
      </x:c>
      <x:c r="H38" s="25" t="n">
        <x:f>IF($C38="","",INDEX(tblTasks[Completion %],MATCH(SMALL(Settings!$U$9:$U$49,1),Settings!$U$9:$U$49,0)))</x:f>
        <x:v>0</x:v>
      </x:c>
      <x:c r="I38" s="26" t="n">
        <x:f>IF($C38="","",INDEX(tblTasks[Days Remaining],MATCH(SMALL(Settings!$U$9:$U$49,1),Settings!$U$9:$U$49,0)))</x:f>
        <x:v>10</x:v>
      </x:c>
    </x:row>
    <x:row r="39" ht="28" customHeight="1">
      <x:c r="B39" s="21" t="str">
        <x:f>IF(C39="","","M-"&amp;TEXT(2,"00"))</x:f>
        <x:v>M-02</x:v>
      </x:c>
      <x:c r="C39" s="48" t="str">
        <x:f>IF(SMALL(Settings!$U$9:$U$49,2)&gt;=1E+99,"",IFERROR(INDEX(tblTasks[Task Name],MATCH(SMALL(Settings!$U$9:$U$49,2),Settings!$U$9:$U$49,0)),""))</x:f>
        <x:v>Core Feature Integration Complete</x:v>
      </x:c>
      <x:c r="D39" s="22" t="str">
        <x:f>IF($C39="","",INDEX(tblTasks[Phase],MATCH(SMALL(Settings!$U$9:$U$49,2),Settings!$U$9:$U$49,0)))</x:f>
        <x:v>Build</x:v>
      </x:c>
      <x:c r="E39" s="24" t="n">
        <x:f>IF($C39="","",INDEX(tblTasks[End Date],MATCH(SMALL(Settings!$U$9:$U$49,2),Settings!$U$9:$U$49,0)))</x:f>
        <x:v>46374</x:v>
      </x:c>
      <x:c r="F39" s="23" t="str">
        <x:f>IF($C39="","",INDEX(tblTasks[Owner],MATCH(SMALL(Settings!$U$9:$U$49,2),Settings!$U$9:$U$49,0)))</x:f>
        <x:v>Marcus Vance</x:v>
      </x:c>
      <x:c r="G39" s="22" t="str">
        <x:f>IF($C39="","",INDEX(tblTasks[Status],MATCH(SMALL(Settings!$U$9:$U$49,2),Settings!$U$9:$U$49,0)))</x:f>
        <x:v>Not Started</x:v>
      </x:c>
      <x:c r="H39" s="25" t="n">
        <x:f>IF($C39="","",INDEX(tblTasks[Completion %],MATCH(SMALL(Settings!$U$9:$U$49,2),Settings!$U$9:$U$49,0)))</x:f>
        <x:v>0</x:v>
      </x:c>
      <x:c r="I39" s="26" t="n">
        <x:f>IF($C39="","",INDEX(tblTasks[Days Remaining],MATCH(SMALL(Settings!$U$9:$U$49,2),Settings!$U$9:$U$49,0)))</x:f>
        <x:v>38</x:v>
      </x:c>
    </x:row>
    <x:row r="40" ht="28" customHeight="1">
      <x:c r="B40" s="21" t="str">
        <x:f>IF(C40="","","M-"&amp;TEXT(3,"00"))</x:f>
        <x:v>M-03</x:v>
      </x:c>
      <x:c r="C40" s="48" t="str">
        <x:f>IF(SMALL(Settings!$U$9:$U$49,3)&gt;=1E+99,"",IFERROR(INDEX(tblTasks[Task Name],MATCH(SMALL(Settings!$U$9:$U$49,3),Settings!$U$9:$U$49,0)),""))</x:f>
        <x:v>UAT &amp; Beta User Sign-Off</x:v>
      </x:c>
      <x:c r="D40" s="22" t="str">
        <x:f>IF($C40="","",INDEX(tblTasks[Phase],MATCH(SMALL(Settings!$U$9:$U$49,3),Settings!$U$9:$U$49,0)))</x:f>
        <x:v>Testing</x:v>
      </x:c>
      <x:c r="E40" s="24" t="n">
        <x:f>IF($C40="","",INDEX(tblTasks[End Date],MATCH(SMALL(Settings!$U$9:$U$49,3),Settings!$U$9:$U$49,0)))</x:f>
        <x:v>46393</x:v>
      </x:c>
      <x:c r="F40" s="23" t="str">
        <x:f>IF($C40="","",INDEX(tblTasks[Owner],MATCH(SMALL(Settings!$U$9:$U$49,3),Settings!$U$9:$U$49,0)))</x:f>
        <x:v>Alex Morgan</x:v>
      </x:c>
      <x:c r="G40" s="22" t="str">
        <x:f>IF($C40="","",INDEX(tblTasks[Status],MATCH(SMALL(Settings!$U$9:$U$49,3),Settings!$U$9:$U$49,0)))</x:f>
        <x:v>Not Started</x:v>
      </x:c>
      <x:c r="H40" s="25" t="n">
        <x:f>IF($C40="","",INDEX(tblTasks[Completion %],MATCH(SMALL(Settings!$U$9:$U$49,3),Settings!$U$9:$U$49,0)))</x:f>
        <x:v>0</x:v>
      </x:c>
      <x:c r="I40" s="26" t="n">
        <x:f>IF($C40="","",INDEX(tblTasks[Days Remaining],MATCH(SMALL(Settings!$U$9:$U$49,3),Settings!$U$9:$U$49,0)))</x:f>
        <x:v>57</x:v>
      </x:c>
    </x:row>
    <x:row r="41" ht="28" customHeight="1">
      <x:c r="B41" s="21" t="str">
        <x:f>IF(C41="","","M-"&amp;TEXT(4,"00"))</x:f>
        <x:v>M-04</x:v>
      </x:c>
      <x:c r="C41" s="48" t="str">
        <x:f>IF(SMALL(Settings!$U$9:$U$49,4)&gt;=1E+99,"",IFERROR(INDEX(tblTasks[Task Name],MATCH(SMALL(Settings!$U$9:$U$49,4),Settings!$U$9:$U$49,0)),""))</x:f>
        <x:v>Production Deployment &amp; Go-Live</x:v>
      </x:c>
      <x:c r="D41" s="22" t="str">
        <x:f>IF($C41="","",INDEX(tblTasks[Phase],MATCH(SMALL(Settings!$U$9:$U$49,4),Settings!$U$9:$U$49,0)))</x:f>
        <x:v>Launch</x:v>
      </x:c>
      <x:c r="E41" s="24" t="n">
        <x:f>IF($C41="","",INDEX(tblTasks[End Date],MATCH(SMALL(Settings!$U$9:$U$49,4),Settings!$U$9:$U$49,0)))</x:f>
        <x:v>46402</x:v>
      </x:c>
      <x:c r="F41" s="23" t="str">
        <x:f>IF($C41="","",INDEX(tblTasks[Owner],MATCH(SMALL(Settings!$U$9:$U$49,4),Settings!$U$9:$U$49,0)))</x:f>
        <x:v>Alex Morgan</x:v>
      </x:c>
      <x:c r="G41" s="22" t="str">
        <x:f>IF($C41="","",INDEX(tblTasks[Status],MATCH(SMALL(Settings!$U$9:$U$49,4),Settings!$U$9:$U$49,0)))</x:f>
        <x:v>Not Started</x:v>
      </x:c>
      <x:c r="H41" s="25" t="n">
        <x:f>IF($C41="","",INDEX(tblTasks[Completion %],MATCH(SMALL(Settings!$U$9:$U$49,4),Settings!$U$9:$U$49,0)))</x:f>
        <x:v>0</x:v>
      </x:c>
      <x:c r="I41" s="26" t="n">
        <x:f>IF($C41="","",INDEX(tblTasks[Days Remaining],MATCH(SMALL(Settings!$U$9:$U$49,4),Settings!$U$9:$U$49,0)))</x:f>
        <x:v>66</x:v>
      </x:c>
    </x:row>
  </x:sheetData>
  <x:mergeCells>
    <x:mergeCell ref="B2:S2"/>
    <x:mergeCell ref="B8:C8"/>
    <x:mergeCell ref="B9:C9"/>
    <x:mergeCell ref="B10:C10"/>
    <x:mergeCell ref="D8:E8"/>
    <x:mergeCell ref="D9:E9"/>
    <x:mergeCell ref="D10:E10"/>
    <x:mergeCell ref="F8:G8"/>
    <x:mergeCell ref="F9:G9"/>
    <x:mergeCell ref="F10:G10"/>
    <x:mergeCell ref="H8:I8"/>
    <x:mergeCell ref="H9:I9"/>
    <x:mergeCell ref="H10:I10"/>
    <x:mergeCell ref="B12:C12"/>
    <x:mergeCell ref="B13:C13"/>
    <x:mergeCell ref="B14:C14"/>
    <x:mergeCell ref="D12:E12"/>
    <x:mergeCell ref="D13:E13"/>
    <x:mergeCell ref="D14:E14"/>
    <x:mergeCell ref="F12:G12"/>
    <x:mergeCell ref="F13:G13"/>
    <x:mergeCell ref="F14:G14"/>
    <x:mergeCell ref="H12:I12"/>
    <x:mergeCell ref="H13:I13"/>
    <x:mergeCell ref="H14:I14"/>
    <x:mergeCell ref="K8:S8"/>
    <x:mergeCell ref="K9:S14"/>
  </x:mergeCells>
  <x:conditionalFormatting sqref="M6:M6">
    <x:cfRule type="cellIs" dxfId="0" priority="1" operator="equal">
      <x:formula>"On Track"</x:formula>
    </x:cfRule>
    <x:cfRule type="cellIs" dxfId="1" priority="2" operator="equal">
      <x:formula>"At Risk"</x:formula>
    </x:cfRule>
    <x:cfRule type="cellIs" dxfId="2" priority="3" operator="equal">
      <x:formula>"Off Track"</x:formula>
    </x:cfRule>
  </x:conditionalFormatting>
  <x:pageMargins left="0.7" right="0.7" top="0.75" bottom="0.75" header="0.3" footer="0.3"/>
  <x:drawing xmlns:r="http://schemas.openxmlformats.org/officeDocument/2006/relationships" r:id="R01d827974c824326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4" ySplit="9" topLeftCell="O10" activePane="bottomRight" state="frozen"/>
    </x:sheetView>
  </x:sheetViews>
  <x:sheetFormatPr defaultRowHeight="15"/>
  <x:cols>
    <x:col min="1" max="1" width="3.7109375" customWidth="1"/>
    <x:col min="2" max="2" width="10.7109375" customWidth="1"/>
    <x:col min="3" max="3" width="12.7109375" customWidth="1"/>
    <x:col min="4" max="4" width="30.7109375" customWidth="1"/>
    <x:col min="5" max="5" width="14.7109375" customWidth="1"/>
    <x:col min="6" max="7" width="12.7109375" customWidth="1"/>
    <x:col min="8" max="8" width="9.7109375" customWidth="1"/>
    <x:col min="9" max="9" width="13.7109375" customWidth="1"/>
    <x:col min="10" max="10" width="10.7109375" customWidth="1"/>
    <x:col min="11" max="11" width="9.7109375" customWidth="1"/>
    <x:col min="12" max="12" width="8.7109375" customWidth="1"/>
    <x:col min="13" max="13" width="10.7109375" customWidth="1"/>
    <x:col min="14" max="14" width="14.7109375" customWidth="1"/>
    <x:col min="15" max="28" width="5.5703125" customWidth="1"/>
    <x:col min="29" max="29" width="7" hidden="0" customWidth="1"/>
    <x:col min="30" max="30" width="7" hidden="0" customWidth="1"/>
    <x:col min="31" max="31" width="7" hidden="0" customWidth="1"/>
    <x:col min="32" max="32" width="7" hidden="0" customWidth="1"/>
    <x:col min="33" max="33" width="7" hidden="0" customWidth="1"/>
    <x:col min="34" max="34" width="7" hidden="0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</x:row>
    <x:row r="3">
      <x:c r="B3" s="3" t="s">
        <x:v>1</x:v>
      </x:c>
      <x:c r="C3" s="2" t="s">
        <x:v>2</x:v>
      </x:c>
      <x:c r="D3" s="3" t="s">
        <x:v>3</x:v>
      </x:c>
      <x:c r="E3" s="3" t="s">
        <x:v>4</x:v>
      </x:c>
      <x:c r="F3" s="3" t="s">
        <x:v>5</x:v>
      </x:c>
      <x:c r="G3" s="3" t="s">
        <x:v>6</x:v>
      </x:c>
    </x:row>
    <x:row r="4">
      <x:c r="B4" s="4" t="s">
        <x:v>47</x:v>
      </x:c>
    </x:row>
    <x:row r="5">
      <x:c r="B5" s="5" t="s">
        <x:v>48</x:v>
      </x:c>
    </x:row>
    <x:row r="8" ht="18" customHeight="1">
      <x:c r="B8" s="20"/>
      <x:c r="C8" s="20"/>
      <x:c r="D8" s="20"/>
      <x:c r="E8" s="20"/>
      <x:c r="F8" s="20"/>
      <x:c r="G8" s="20"/>
      <x:c r="H8" s="20"/>
      <x:c r="I8" s="20"/>
      <x:c r="J8" s="20"/>
      <x:c r="K8" s="20"/>
      <x:c r="L8" s="20"/>
      <x:c r="M8" s="20"/>
      <x:c r="N8" s="20"/>
      <x:c r="O8" s="27" t="str">
        <x:v>W01</x:v>
      </x:c>
      <x:c r="P8" s="27" t="str">
        <x:v>W02</x:v>
      </x:c>
      <x:c r="Q8" s="27" t="str">
        <x:v>W03</x:v>
      </x:c>
      <x:c r="R8" s="27" t="str">
        <x:v>W04</x:v>
      </x:c>
      <x:c r="S8" s="27" t="str">
        <x:v>W05</x:v>
      </x:c>
      <x:c r="T8" s="27" t="str">
        <x:v>W06</x:v>
      </x:c>
      <x:c r="U8" s="27" t="str">
        <x:v>W07</x:v>
      </x:c>
      <x:c r="V8" s="27" t="str">
        <x:v>W08</x:v>
      </x:c>
      <x:c r="W8" s="27" t="str">
        <x:v>W09</x:v>
      </x:c>
      <x:c r="X8" s="27" t="str">
        <x:v>W10</x:v>
      </x:c>
      <x:c r="Y8" s="27" t="str">
        <x:v>W11</x:v>
      </x:c>
      <x:c r="Z8" s="27" t="str">
        <x:v>W12</x:v>
      </x:c>
      <x:c r="AA8" s="27" t="str">
        <x:v>W13</x:v>
      </x:c>
      <x:c r="AB8" s="27" t="str">
        <x:v>W14</x:v>
      </x:c>
      <x:c r="AC8" s="41" t="str">
        <x:v>W15</x:v>
      </x:c>
      <x:c r="AD8" s="41" t="str">
        <x:v>W16</x:v>
      </x:c>
      <x:c r="AE8" s="41" t="str">
        <x:v>W17</x:v>
      </x:c>
      <x:c r="AF8" s="41" t="str">
        <x:v>W18</x:v>
      </x:c>
      <x:c r="AG8" s="41" t="str">
        <x:v>W19</x:v>
      </x:c>
      <x:c r="AH8" s="41" t="str">
        <x:v>W20</x:v>
      </x:c>
    </x:row>
    <x:row r="9" ht="22" customHeight="1">
      <x:c r="B9" s="20" t="s">
        <x:v>33</x:v>
      </x:c>
      <x:c r="C9" s="20" t="s">
        <x:v>34</x:v>
      </x:c>
      <x:c r="D9" s="28" t="s">
        <x:v>35</x:v>
      </x:c>
      <x:c r="E9" s="20" t="s">
        <x:v>36</x:v>
      </x:c>
      <x:c r="F9" s="20" t="s">
        <x:v>11</x:v>
      </x:c>
      <x:c r="G9" s="20" t="s">
        <x:v>37</x:v>
      </x:c>
      <x:c r="H9" s="20" t="s">
        <x:v>49</x:v>
      </x:c>
      <x:c r="I9" s="20" t="s">
        <x:v>38</x:v>
      </x:c>
      <x:c r="J9" s="20" t="s">
        <x:v>39</x:v>
      </x:c>
      <x:c r="K9" s="20" t="s">
        <x:v>50</x:v>
      </x:c>
      <x:c r="L9" s="20" t="s">
        <x:v>51</x:v>
      </x:c>
      <x:c r="M9" s="20" t="s">
        <x:v>52</x:v>
      </x:c>
      <x:c r="N9" s="20" t="s">
        <x:v>40</x:v>
      </x:c>
      <x:c r="O9" s="29" t="n">
        <x:f>Settings!$D$7</x:f>
        <x:v>46300</x:v>
      </x:c>
      <x:c r="P9" s="29" t="n">
        <x:f>O$9+7</x:f>
        <x:v>46307</x:v>
      </x:c>
      <x:c r="Q9" s="29" t="n">
        <x:f>P$9+7</x:f>
        <x:v>46314</x:v>
      </x:c>
      <x:c r="R9" s="29" t="n">
        <x:f>Q$9+7</x:f>
        <x:v>46321</x:v>
      </x:c>
      <x:c r="S9" s="29" t="n">
        <x:f>R$9+7</x:f>
        <x:v>46328</x:v>
      </x:c>
      <x:c r="T9" s="29" t="n">
        <x:f>S$9+7</x:f>
        <x:v>46335</x:v>
      </x:c>
      <x:c r="U9" s="29" t="n">
        <x:f>T$9+7</x:f>
        <x:v>46342</x:v>
      </x:c>
      <x:c r="V9" s="29" t="n">
        <x:f>U$9+7</x:f>
        <x:v>46349</x:v>
      </x:c>
      <x:c r="W9" s="29" t="n">
        <x:f>V$9+7</x:f>
        <x:v>46356</x:v>
      </x:c>
      <x:c r="X9" s="29" t="n">
        <x:f>W$9+7</x:f>
        <x:v>46363</x:v>
      </x:c>
      <x:c r="Y9" s="29" t="n">
        <x:f>X$9+7</x:f>
        <x:v>46370</x:v>
      </x:c>
      <x:c r="Z9" s="29" t="n">
        <x:f>Y$9+7</x:f>
        <x:v>46377</x:v>
      </x:c>
      <x:c r="AA9" s="29" t="n">
        <x:f>Z$9+7</x:f>
        <x:v>46384</x:v>
      </x:c>
      <x:c r="AB9" s="29" t="n">
        <x:f>AA$9+7</x:f>
        <x:v>46391</x:v>
      </x:c>
      <x:c r="AC9" s="46" t="n">
        <x:f>AB$9+7</x:f>
        <x:v>46398</x:v>
      </x:c>
      <x:c r="AD9" s="46" t="n">
        <x:f>AC$9+7</x:f>
        <x:v>46405</x:v>
      </x:c>
      <x:c r="AE9" s="46" t="n">
        <x:f>AD$9+7</x:f>
        <x:v>46412</x:v>
      </x:c>
      <x:c r="AF9" s="46" t="n">
        <x:f>AE$9+7</x:f>
        <x:v>46419</x:v>
      </x:c>
      <x:c r="AG9" s="46" t="n">
        <x:f>AF$9+7</x:f>
        <x:v>46426</x:v>
      </x:c>
      <x:c r="AH9" s="46" t="n">
        <x:f>AG$9+7</x:f>
        <x:v>46433</x:v>
      </x:c>
    </x:row>
    <x:row r="10">
      <x:c r="B10" s="21" t="str">
        <x:f>IF('Task List'!$B10="","",'Task List'!B10)</x:f>
        <x:v>TSK-01</x:v>
      </x:c>
      <x:c r="C10" s="22" t="str">
        <x:f>IF('Task List'!$B10="","",'Task List'!C10)</x:f>
        <x:v>Discovery</x:v>
      </x:c>
      <x:c r="D10" s="23" t="str">
        <x:f>IF('Task List'!$B10="","",'Task List'!D10)</x:f>
        <x:v>Stakeholder Requirements Gathering</x:v>
      </x:c>
      <x:c r="E10" s="23" t="str">
        <x:f>IF('Task List'!$B10="","",'Task List'!F10)</x:f>
        <x:v>Alex Morgan</x:v>
      </x:c>
      <x:c r="F10" s="24" t="n">
        <x:f>IF('Task List'!$B10="","",'Task List'!G10)</x:f>
        <x:v>46300</x:v>
      </x:c>
      <x:c r="G10" s="24" t="n">
        <x:f>IF('Task List'!$B10="","",'Task List'!H10)</x:f>
        <x:v>46307</x:v>
      </x:c>
      <x:c r="H10" s="26" t="n">
        <x:f>IF('Task List'!$B10="","",'Task List'!I10)</x:f>
        <x:v>8</x:v>
      </x:c>
      <x:c r="I10" s="22" t="str">
        <x:f>IF('Task List'!$B10="","",'Task List'!J10)</x:f>
        <x:v>Completed</x:v>
      </x:c>
      <x:c r="J10" s="22" t="str">
        <x:f>IF('Task List'!$B10="","",'Task List'!K10)</x:f>
        <x:v>High</x:v>
      </x:c>
      <x:c r="K10" s="25" t="n">
        <x:f>IF('Task List'!$B10="","",'Task List'!L10)</x:f>
        <x:v>1</x:v>
      </x:c>
      <x:c r="L10" s="22" t="str">
        <x:f>IF('Task List'!$B10="","",'Task List'!M10)</x:f>
        <x:v>-</x:v>
      </x:c>
      <x:c r="M10" s="22" t="str">
        <x:f>IF('Task List'!$B10="","",'Task List'!N10)</x:f>
        <x:v>No</x:v>
      </x:c>
      <x:c r="N10" s="21" t="str">
        <x:f>IF('Task List'!$B10="","",'Task List'!Q10)</x:f>
        <x:v>Completed</x:v>
      </x:c>
      <x:c r="O10" s="30" t="str">
        <x:f>IF(OR($F10="",$G10=""),"",IF(AND($F10&lt;=O$9+6,$G10&gt;=O$9),IF($M10="Yes","◆","■"),""))</x:f>
        <x:v>■</x:v>
      </x:c>
      <x:c r="P10" s="30" t="str">
        <x:f>IF(OR($F10="",$G10=""),"",IF(AND($F10&lt;=P$9+6,$G10&gt;=P$9),IF($M10="Yes","◆","■"),""))</x:f>
        <x:v>■</x:v>
      </x:c>
      <x:c r="Q10" s="30" t="str">
        <x:f>IF(OR($F10="",$G10=""),"",IF(AND($F10&lt;=Q$9+6,$G10&gt;=Q$9),IF($M10="Yes","◆","■"),""))</x:f>
      </x:c>
      <x:c r="R10" s="30" t="str">
        <x:f>IF(OR($F10="",$G10=""),"",IF(AND($F10&lt;=R$9+6,$G10&gt;=R$9),IF($M10="Yes","◆","■"),""))</x:f>
      </x:c>
      <x:c r="S10" s="30" t="str">
        <x:f>IF(OR($F10="",$G10=""),"",IF(AND($F10&lt;=S$9+6,$G10&gt;=S$9),IF($M10="Yes","◆","■"),""))</x:f>
      </x:c>
      <x:c r="T10" s="30" t="str">
        <x:f>IF(OR($F10="",$G10=""),"",IF(AND($F10&lt;=T$9+6,$G10&gt;=T$9),IF($M10="Yes","◆","■"),""))</x:f>
      </x:c>
      <x:c r="U10" s="30" t="str">
        <x:f>IF(OR($F10="",$G10=""),"",IF(AND($F10&lt;=U$9+6,$G10&gt;=U$9),IF($M10="Yes","◆","■"),""))</x:f>
      </x:c>
      <x:c r="V10" s="30" t="str">
        <x:f>IF(OR($F10="",$G10=""),"",IF(AND($F10&lt;=V$9+6,$G10&gt;=V$9),IF($M10="Yes","◆","■"),""))</x:f>
      </x:c>
      <x:c r="W10" s="30" t="str">
        <x:f>IF(OR($F10="",$G10=""),"",IF(AND($F10&lt;=W$9+6,$G10&gt;=W$9),IF($M10="Yes","◆","■"),""))</x:f>
      </x:c>
      <x:c r="X10" s="30" t="str">
        <x:f>IF(OR($F10="",$G10=""),"",IF(AND($F10&lt;=X$9+6,$G10&gt;=X$9),IF($M10="Yes","◆","■"),""))</x:f>
      </x:c>
      <x:c r="Y10" s="30" t="str">
        <x:f>IF(OR($F10="",$G10=""),"",IF(AND($F10&lt;=Y$9+6,$G10&gt;=Y$9),IF($M10="Yes","◆","■"),""))</x:f>
      </x:c>
      <x:c r="Z10" s="30" t="str">
        <x:f>IF(OR($F10="",$G10=""),"",IF(AND($F10&lt;=Z$9+6,$G10&gt;=Z$9),IF($M10="Yes","◆","■"),""))</x:f>
      </x:c>
      <x:c r="AA10" s="30" t="str">
        <x:f>IF(OR($F10="",$G10=""),"",IF(AND($F10&lt;=AA$9+6,$G10&gt;=AA$9),IF($M10="Yes","◆","■"),""))</x:f>
      </x:c>
      <x:c r="AB10" s="30" t="str">
        <x:f>IF(OR($F10="",$G10=""),"",IF(AND($F10&lt;=AB$9+6,$G10&gt;=AB$9),IF($M10="Yes","◆","■"),""))</x:f>
      </x:c>
      <x:c r="AC10" t="str">
        <x:f>IF(OR($F10="",$G10=""),"",IF(AND($F10&lt;=AC$9+6,$G10&gt;=AC$9),IF($M10="Yes","◆","■"),""))</x:f>
      </x:c>
      <x:c r="AD10" t="str">
        <x:f>IF(OR($F10="",$G10=""),"",IF(AND($F10&lt;=AD$9+6,$G10&gt;=AD$9),IF($M10="Yes","◆","■"),""))</x:f>
      </x:c>
      <x:c r="AE10" t="str">
        <x:f>IF(OR($F10="",$G10=""),"",IF(AND($F10&lt;=AE$9+6,$G10&gt;=AE$9),IF($M10="Yes","◆","■"),""))</x:f>
      </x:c>
      <x:c r="AF10" t="str">
        <x:f>IF(OR($F10="",$G10=""),"",IF(AND($F10&lt;=AF$9+6,$G10&gt;=AF$9),IF($M10="Yes","◆","■"),""))</x:f>
      </x:c>
      <x:c r="AG10" t="str">
        <x:f>IF(OR($F10="",$G10=""),"",IF(AND($F10&lt;=AG$9+6,$G10&gt;=AG$9),IF($M10="Yes","◆","■"),""))</x:f>
      </x:c>
      <x:c r="AH10" t="str">
        <x:f>IF(OR($F10="",$G10=""),"",IF(AND($F10&lt;=AH$9+6,$G10&gt;=AH$9),IF($M10="Yes","◆","■"),""))</x:f>
      </x:c>
    </x:row>
    <x:row r="11">
      <x:c r="B11" s="21" t="str">
        <x:f>IF('Task List'!$B11="","",'Task List'!B11)</x:f>
        <x:v>TSK-02</x:v>
      </x:c>
      <x:c r="C11" s="22" t="str">
        <x:f>IF('Task List'!$B11="","",'Task List'!C11)</x:f>
        <x:v>Discovery</x:v>
      </x:c>
      <x:c r="D11" s="23" t="str">
        <x:f>IF('Task List'!$B11="","",'Task List'!D11)</x:f>
        <x:v>User Persona &amp; Journey Mapping</x:v>
      </x:c>
      <x:c r="E11" s="23" t="str">
        <x:f>IF('Task List'!$B11="","",'Task List'!F11)</x:f>
        <x:v>Sarah Chen</x:v>
      </x:c>
      <x:c r="F11" s="24" t="n">
        <x:f>IF('Task List'!$B11="","",'Task List'!G11)</x:f>
        <x:v>46303</x:v>
      </x:c>
      <x:c r="G11" s="24" t="n">
        <x:f>IF('Task List'!$B11="","",'Task List'!H11)</x:f>
        <x:v>46311</x:v>
      </x:c>
      <x:c r="H11" s="26" t="n">
        <x:f>IF('Task List'!$B11="","",'Task List'!I11)</x:f>
        <x:v>9</x:v>
      </x:c>
      <x:c r="I11" s="22" t="str">
        <x:f>IF('Task List'!$B11="","",'Task List'!J11)</x:f>
        <x:v>Completed</x:v>
      </x:c>
      <x:c r="J11" s="22" t="str">
        <x:f>IF('Task List'!$B11="","",'Task List'!K11)</x:f>
        <x:v>Medium</x:v>
      </x:c>
      <x:c r="K11" s="25" t="n">
        <x:f>IF('Task List'!$B11="","",'Task List'!L11)</x:f>
        <x:v>1</x:v>
      </x:c>
      <x:c r="L11" s="22" t="str">
        <x:f>IF('Task List'!$B11="","",'Task List'!M11)</x:f>
        <x:v>TSK-01</x:v>
      </x:c>
      <x:c r="M11" s="22" t="str">
        <x:f>IF('Task List'!$B11="","",'Task List'!N11)</x:f>
        <x:v>No</x:v>
      </x:c>
      <x:c r="N11" s="21" t="str">
        <x:f>IF('Task List'!$B11="","",'Task List'!Q11)</x:f>
        <x:v>Completed</x:v>
      </x:c>
      <x:c r="O11" s="30" t="str">
        <x:f>IF(OR($F11="",$G11=""),"",IF(AND($F11&lt;=O$9+6,$G11&gt;=O$9),IF($M11="Yes","◆","■"),""))</x:f>
        <x:v>■</x:v>
      </x:c>
      <x:c r="P11" s="30" t="str">
        <x:f>IF(OR($F11="",$G11=""),"",IF(AND($F11&lt;=P$9+6,$G11&gt;=P$9),IF($M11="Yes","◆","■"),""))</x:f>
        <x:v>■</x:v>
      </x:c>
      <x:c r="Q11" s="30" t="str">
        <x:f>IF(OR($F11="",$G11=""),"",IF(AND($F11&lt;=Q$9+6,$G11&gt;=Q$9),IF($M11="Yes","◆","■"),""))</x:f>
      </x:c>
      <x:c r="R11" s="30" t="str">
        <x:f>IF(OR($F11="",$G11=""),"",IF(AND($F11&lt;=R$9+6,$G11&gt;=R$9),IF($M11="Yes","◆","■"),""))</x:f>
      </x:c>
      <x:c r="S11" s="30" t="str">
        <x:f>IF(OR($F11="",$G11=""),"",IF(AND($F11&lt;=S$9+6,$G11&gt;=S$9),IF($M11="Yes","◆","■"),""))</x:f>
      </x:c>
      <x:c r="T11" s="30" t="str">
        <x:f>IF(OR($F11="",$G11=""),"",IF(AND($F11&lt;=T$9+6,$G11&gt;=T$9),IF($M11="Yes","◆","■"),""))</x:f>
      </x:c>
      <x:c r="U11" s="30" t="str">
        <x:f>IF(OR($F11="",$G11=""),"",IF(AND($F11&lt;=U$9+6,$G11&gt;=U$9),IF($M11="Yes","◆","■"),""))</x:f>
      </x:c>
      <x:c r="V11" s="30" t="str">
        <x:f>IF(OR($F11="",$G11=""),"",IF(AND($F11&lt;=V$9+6,$G11&gt;=V$9),IF($M11="Yes","◆","■"),""))</x:f>
      </x:c>
      <x:c r="W11" s="30" t="str">
        <x:f>IF(OR($F11="",$G11=""),"",IF(AND($F11&lt;=W$9+6,$G11&gt;=W$9),IF($M11="Yes","◆","■"),""))</x:f>
      </x:c>
      <x:c r="X11" s="30" t="str">
        <x:f>IF(OR($F11="",$G11=""),"",IF(AND($F11&lt;=X$9+6,$G11&gt;=X$9),IF($M11="Yes","◆","■"),""))</x:f>
      </x:c>
      <x:c r="Y11" s="30" t="str">
        <x:f>IF(OR($F11="",$G11=""),"",IF(AND($F11&lt;=Y$9+6,$G11&gt;=Y$9),IF($M11="Yes","◆","■"),""))</x:f>
      </x:c>
      <x:c r="Z11" s="30" t="str">
        <x:f>IF(OR($F11="",$G11=""),"",IF(AND($F11&lt;=Z$9+6,$G11&gt;=Z$9),IF($M11="Yes","◆","■"),""))</x:f>
      </x:c>
      <x:c r="AA11" s="30" t="str">
        <x:f>IF(OR($F11="",$G11=""),"",IF(AND($F11&lt;=AA$9+6,$G11&gt;=AA$9),IF($M11="Yes","◆","■"),""))</x:f>
      </x:c>
      <x:c r="AB11" s="30" t="str">
        <x:f>IF(OR($F11="",$G11=""),"",IF(AND($F11&lt;=AB$9+6,$G11&gt;=AB$9),IF($M11="Yes","◆","■"),""))</x:f>
      </x:c>
      <x:c r="AC11" t="str">
        <x:f>IF(OR($F11="",$G11=""),"",IF(AND($F11&lt;=AC$9+6,$G11&gt;=AC$9),IF($M11="Yes","◆","■"),""))</x:f>
      </x:c>
      <x:c r="AD11" t="str">
        <x:f>IF(OR($F11="",$G11=""),"",IF(AND($F11&lt;=AD$9+6,$G11&gt;=AD$9),IF($M11="Yes","◆","■"),""))</x:f>
      </x:c>
      <x:c r="AE11" t="str">
        <x:f>IF(OR($F11="",$G11=""),"",IF(AND($F11&lt;=AE$9+6,$G11&gt;=AE$9),IF($M11="Yes","◆","■"),""))</x:f>
      </x:c>
      <x:c r="AF11" t="str">
        <x:f>IF(OR($F11="",$G11=""),"",IF(AND($F11&lt;=AF$9+6,$G11&gt;=AF$9),IF($M11="Yes","◆","■"),""))</x:f>
      </x:c>
      <x:c r="AG11" t="str">
        <x:f>IF(OR($F11="",$G11=""),"",IF(AND($F11&lt;=AG$9+6,$G11&gt;=AG$9),IF($M11="Yes","◆","■"),""))</x:f>
      </x:c>
      <x:c r="AH11" t="str">
        <x:f>IF(OR($F11="",$G11=""),"",IF(AND($F11&lt;=AH$9+6,$G11&gt;=AH$9),IF($M11="Yes","◆","■"),""))</x:f>
      </x:c>
    </x:row>
    <x:row r="12">
      <x:c r="B12" s="21" t="str">
        <x:f>IF('Task List'!$B12="","",'Task List'!B12)</x:f>
        <x:v>TSK-03</x:v>
      </x:c>
      <x:c r="C12" s="22" t="str">
        <x:f>IF('Task List'!$B12="","",'Task List'!C12)</x:f>
        <x:v>Discovery</x:v>
      </x:c>
      <x:c r="D12" s="23" t="str">
        <x:f>IF('Task List'!$B12="","",'Task List'!D12)</x:f>
        <x:v>Discovery Phase Approval Sign-off</x:v>
      </x:c>
      <x:c r="E12" s="23" t="str">
        <x:f>IF('Task List'!$B12="","",'Task List'!F12)</x:f>
        <x:v>Alex Morgan</x:v>
      </x:c>
      <x:c r="F12" s="24" t="n">
        <x:f>IF('Task List'!$B12="","",'Task List'!G12)</x:f>
        <x:v>46311</x:v>
      </x:c>
      <x:c r="G12" s="24" t="n">
        <x:f>IF('Task List'!$B12="","",'Task List'!H12)</x:f>
        <x:v>46311</x:v>
      </x:c>
      <x:c r="H12" s="26" t="n">
        <x:f>IF('Task List'!$B12="","",'Task List'!I12)</x:f>
        <x:v>1</x:v>
      </x:c>
      <x:c r="I12" s="22" t="str">
        <x:f>IF('Task List'!$B12="","",'Task List'!J12)</x:f>
        <x:v>Completed</x:v>
      </x:c>
      <x:c r="J12" s="22" t="str">
        <x:f>IF('Task List'!$B12="","",'Task List'!K12)</x:f>
        <x:v>Critical</x:v>
      </x:c>
      <x:c r="K12" s="25" t="n">
        <x:f>IF('Task List'!$B12="","",'Task List'!L12)</x:f>
        <x:v>1</x:v>
      </x:c>
      <x:c r="L12" s="22" t="str">
        <x:f>IF('Task List'!$B12="","",'Task List'!M12)</x:f>
        <x:v>TSK-02</x:v>
      </x:c>
      <x:c r="M12" s="22" t="str">
        <x:f>IF('Task List'!$B12="","",'Task List'!N12)</x:f>
        <x:v>Yes</x:v>
      </x:c>
      <x:c r="N12" s="21" t="str">
        <x:f>IF('Task List'!$B12="","",'Task List'!Q12)</x:f>
        <x:v>Completed</x:v>
      </x:c>
      <x:c r="O12" s="30" t="str">
        <x:f>IF(OR($F12="",$G12=""),"",IF(AND($F12&lt;=O$9+6,$G12&gt;=O$9),IF($M12="Yes","◆","■"),""))</x:f>
      </x:c>
      <x:c r="P12" s="30" t="str">
        <x:f>IF(OR($F12="",$G12=""),"",IF(AND($F12&lt;=P$9+6,$G12&gt;=P$9),IF($M12="Yes","◆","■"),""))</x:f>
        <x:v>◆</x:v>
      </x:c>
      <x:c r="Q12" s="30" t="str">
        <x:f>IF(OR($F12="",$G12=""),"",IF(AND($F12&lt;=Q$9+6,$G12&gt;=Q$9),IF($M12="Yes","◆","■"),""))</x:f>
      </x:c>
      <x:c r="R12" s="30" t="str">
        <x:f>IF(OR($F12="",$G12=""),"",IF(AND($F12&lt;=R$9+6,$G12&gt;=R$9),IF($M12="Yes","◆","■"),""))</x:f>
      </x:c>
      <x:c r="S12" s="30" t="str">
        <x:f>IF(OR($F12="",$G12=""),"",IF(AND($F12&lt;=S$9+6,$G12&gt;=S$9),IF($M12="Yes","◆","■"),""))</x:f>
      </x:c>
      <x:c r="T12" s="30" t="str">
        <x:f>IF(OR($F12="",$G12=""),"",IF(AND($F12&lt;=T$9+6,$G12&gt;=T$9),IF($M12="Yes","◆","■"),""))</x:f>
      </x:c>
      <x:c r="U12" s="30" t="str">
        <x:f>IF(OR($F12="",$G12=""),"",IF(AND($F12&lt;=U$9+6,$G12&gt;=U$9),IF($M12="Yes","◆","■"),""))</x:f>
      </x:c>
      <x:c r="V12" s="30" t="str">
        <x:f>IF(OR($F12="",$G12=""),"",IF(AND($F12&lt;=V$9+6,$G12&gt;=V$9),IF($M12="Yes","◆","■"),""))</x:f>
      </x:c>
      <x:c r="W12" s="30" t="str">
        <x:f>IF(OR($F12="",$G12=""),"",IF(AND($F12&lt;=W$9+6,$G12&gt;=W$9),IF($M12="Yes","◆","■"),""))</x:f>
      </x:c>
      <x:c r="X12" s="30" t="str">
        <x:f>IF(OR($F12="",$G12=""),"",IF(AND($F12&lt;=X$9+6,$G12&gt;=X$9),IF($M12="Yes","◆","■"),""))</x:f>
      </x:c>
      <x:c r="Y12" s="30" t="str">
        <x:f>IF(OR($F12="",$G12=""),"",IF(AND($F12&lt;=Y$9+6,$G12&gt;=Y$9),IF($M12="Yes","◆","■"),""))</x:f>
      </x:c>
      <x:c r="Z12" s="30" t="str">
        <x:f>IF(OR($F12="",$G12=""),"",IF(AND($F12&lt;=Z$9+6,$G12&gt;=Z$9),IF($M12="Yes","◆","■"),""))</x:f>
      </x:c>
      <x:c r="AA12" s="30" t="str">
        <x:f>IF(OR($F12="",$G12=""),"",IF(AND($F12&lt;=AA$9+6,$G12&gt;=AA$9),IF($M12="Yes","◆","■"),""))</x:f>
      </x:c>
      <x:c r="AB12" s="30" t="str">
        <x:f>IF(OR($F12="",$G12=""),"",IF(AND($F12&lt;=AB$9+6,$G12&gt;=AB$9),IF($M12="Yes","◆","■"),""))</x:f>
      </x:c>
      <x:c r="AC12" t="str">
        <x:f>IF(OR($F12="",$G12=""),"",IF(AND($F12&lt;=AC$9+6,$G12&gt;=AC$9),IF($M12="Yes","◆","■"),""))</x:f>
      </x:c>
      <x:c r="AD12" t="str">
        <x:f>IF(OR($F12="",$G12=""),"",IF(AND($F12&lt;=AD$9+6,$G12&gt;=AD$9),IF($M12="Yes","◆","■"),""))</x:f>
      </x:c>
      <x:c r="AE12" t="str">
        <x:f>IF(OR($F12="",$G12=""),"",IF(AND($F12&lt;=AE$9+6,$G12&gt;=AE$9),IF($M12="Yes","◆","■"),""))</x:f>
      </x:c>
      <x:c r="AF12" t="str">
        <x:f>IF(OR($F12="",$G12=""),"",IF(AND($F12&lt;=AF$9+6,$G12&gt;=AF$9),IF($M12="Yes","◆","■"),""))</x:f>
      </x:c>
      <x:c r="AG12" t="str">
        <x:f>IF(OR($F12="",$G12=""),"",IF(AND($F12&lt;=AG$9+6,$G12&gt;=AG$9),IF($M12="Yes","◆","■"),""))</x:f>
      </x:c>
      <x:c r="AH12" t="str">
        <x:f>IF(OR($F12="",$G12=""),"",IF(AND($F12&lt;=AH$9+6,$G12&gt;=AH$9),IF($M12="Yes","◆","■"),""))</x:f>
      </x:c>
    </x:row>
    <x:row r="13">
      <x:c r="B13" s="21" t="str">
        <x:f>IF('Task List'!$B13="","",'Task List'!B13)</x:f>
        <x:v>TSK-04</x:v>
      </x:c>
      <x:c r="C13" s="22" t="str">
        <x:f>IF('Task List'!$B13="","",'Task List'!C13)</x:f>
        <x:v>Planning</x:v>
      </x:c>
      <x:c r="D13" s="23" t="str">
        <x:f>IF('Task List'!$B13="","",'Task List'!D13)</x:f>
        <x:v>System Architecture &amp; Security Spec</x:v>
      </x:c>
      <x:c r="E13" s="23" t="str">
        <x:f>IF('Task List'!$B13="","",'Task List'!F13)</x:f>
        <x:v>Marcus Vance</x:v>
      </x:c>
      <x:c r="F13" s="24" t="n">
        <x:f>IF('Task List'!$B13="","",'Task List'!G13)</x:f>
        <x:v>46314</x:v>
      </x:c>
      <x:c r="G13" s="24" t="n">
        <x:f>IF('Task List'!$B13="","",'Task List'!H13)</x:f>
        <x:v>46323</x:v>
      </x:c>
      <x:c r="H13" s="26" t="n">
        <x:f>IF('Task List'!$B13="","",'Task List'!I13)</x:f>
        <x:v>10</x:v>
      </x:c>
      <x:c r="I13" s="22" t="str">
        <x:f>IF('Task List'!$B13="","",'Task List'!J13)</x:f>
        <x:v>Completed</x:v>
      </x:c>
      <x:c r="J13" s="22" t="str">
        <x:f>IF('Task List'!$B13="","",'Task List'!K13)</x:f>
        <x:v>High</x:v>
      </x:c>
      <x:c r="K13" s="25" t="n">
        <x:f>IF('Task List'!$B13="","",'Task List'!L13)</x:f>
        <x:v>1</x:v>
      </x:c>
      <x:c r="L13" s="22" t="str">
        <x:f>IF('Task List'!$B13="","",'Task List'!M13)</x:f>
        <x:v>TSK-03</x:v>
      </x:c>
      <x:c r="M13" s="22" t="str">
        <x:f>IF('Task List'!$B13="","",'Task List'!N13)</x:f>
        <x:v>No</x:v>
      </x:c>
      <x:c r="N13" s="21" t="str">
        <x:f>IF('Task List'!$B13="","",'Task List'!Q13)</x:f>
        <x:v>Completed</x:v>
      </x:c>
      <x:c r="O13" s="30" t="str">
        <x:f>IF(OR($F13="",$G13=""),"",IF(AND($F13&lt;=O$9+6,$G13&gt;=O$9),IF($M13="Yes","◆","■"),""))</x:f>
      </x:c>
      <x:c r="P13" s="30" t="str">
        <x:f>IF(OR($F13="",$G13=""),"",IF(AND($F13&lt;=P$9+6,$G13&gt;=P$9),IF($M13="Yes","◆","■"),""))</x:f>
      </x:c>
      <x:c r="Q13" s="30" t="str">
        <x:f>IF(OR($F13="",$G13=""),"",IF(AND($F13&lt;=Q$9+6,$G13&gt;=Q$9),IF($M13="Yes","◆","■"),""))</x:f>
        <x:v>■</x:v>
      </x:c>
      <x:c r="R13" s="30" t="str">
        <x:f>IF(OR($F13="",$G13=""),"",IF(AND($F13&lt;=R$9+6,$G13&gt;=R$9),IF($M13="Yes","◆","■"),""))</x:f>
        <x:v>■</x:v>
      </x:c>
      <x:c r="S13" s="30" t="str">
        <x:f>IF(OR($F13="",$G13=""),"",IF(AND($F13&lt;=S$9+6,$G13&gt;=S$9),IF($M13="Yes","◆","■"),""))</x:f>
      </x:c>
      <x:c r="T13" s="30" t="str">
        <x:f>IF(OR($F13="",$G13=""),"",IF(AND($F13&lt;=T$9+6,$G13&gt;=T$9),IF($M13="Yes","◆","■"),""))</x:f>
      </x:c>
      <x:c r="U13" s="30" t="str">
        <x:f>IF(OR($F13="",$G13=""),"",IF(AND($F13&lt;=U$9+6,$G13&gt;=U$9),IF($M13="Yes","◆","■"),""))</x:f>
      </x:c>
      <x:c r="V13" s="30" t="str">
        <x:f>IF(OR($F13="",$G13=""),"",IF(AND($F13&lt;=V$9+6,$G13&gt;=V$9),IF($M13="Yes","◆","■"),""))</x:f>
      </x:c>
      <x:c r="W13" s="30" t="str">
        <x:f>IF(OR($F13="",$G13=""),"",IF(AND($F13&lt;=W$9+6,$G13&gt;=W$9),IF($M13="Yes","◆","■"),""))</x:f>
      </x:c>
      <x:c r="X13" s="30" t="str">
        <x:f>IF(OR($F13="",$G13=""),"",IF(AND($F13&lt;=X$9+6,$G13&gt;=X$9),IF($M13="Yes","◆","■"),""))</x:f>
      </x:c>
      <x:c r="Y13" s="30" t="str">
        <x:f>IF(OR($F13="",$G13=""),"",IF(AND($F13&lt;=Y$9+6,$G13&gt;=Y$9),IF($M13="Yes","◆","■"),""))</x:f>
      </x:c>
      <x:c r="Z13" s="30" t="str">
        <x:f>IF(OR($F13="",$G13=""),"",IF(AND($F13&lt;=Z$9+6,$G13&gt;=Z$9),IF($M13="Yes","◆","■"),""))</x:f>
      </x:c>
      <x:c r="AA13" s="30" t="str">
        <x:f>IF(OR($F13="",$G13=""),"",IF(AND($F13&lt;=AA$9+6,$G13&gt;=AA$9),IF($M13="Yes","◆","■"),""))</x:f>
      </x:c>
      <x:c r="AB13" s="30" t="str">
        <x:f>IF(OR($F13="",$G13=""),"",IF(AND($F13&lt;=AB$9+6,$G13&gt;=AB$9),IF($M13="Yes","◆","■"),""))</x:f>
      </x:c>
      <x:c r="AC13" t="str">
        <x:f>IF(OR($F13="",$G13=""),"",IF(AND($F13&lt;=AC$9+6,$G13&gt;=AC$9),IF($M13="Yes","◆","■"),""))</x:f>
      </x:c>
      <x:c r="AD13" t="str">
        <x:f>IF(OR($F13="",$G13=""),"",IF(AND($F13&lt;=AD$9+6,$G13&gt;=AD$9),IF($M13="Yes","◆","■"),""))</x:f>
      </x:c>
      <x:c r="AE13" t="str">
        <x:f>IF(OR($F13="",$G13=""),"",IF(AND($F13&lt;=AE$9+6,$G13&gt;=AE$9),IF($M13="Yes","◆","■"),""))</x:f>
      </x:c>
      <x:c r="AF13" t="str">
        <x:f>IF(OR($F13="",$G13=""),"",IF(AND($F13&lt;=AF$9+6,$G13&gt;=AF$9),IF($M13="Yes","◆","■"),""))</x:f>
      </x:c>
      <x:c r="AG13" t="str">
        <x:f>IF(OR($F13="",$G13=""),"",IF(AND($F13&lt;=AG$9+6,$G13&gt;=AG$9),IF($M13="Yes","◆","■"),""))</x:f>
      </x:c>
      <x:c r="AH13" t="str">
        <x:f>IF(OR($F13="",$G13=""),"",IF(AND($F13&lt;=AH$9+6,$G13&gt;=AH$9),IF($M13="Yes","◆","■"),""))</x:f>
      </x:c>
    </x:row>
    <x:row r="14">
      <x:c r="B14" s="21" t="str">
        <x:f>IF('Task List'!$B14="","",'Task List'!B14)</x:f>
        <x:v>TSK-05</x:v>
      </x:c>
      <x:c r="C14" s="22" t="str">
        <x:f>IF('Task List'!$B14="","",'Task List'!C14)</x:f>
        <x:v>Planning</x:v>
      </x:c>
      <x:c r="D14" s="23" t="str">
        <x:f>IF('Task List'!$B14="","",'Task List'!D14)</x:f>
        <x:v>Content Taxonomy &amp; Helpdesk Schema</x:v>
      </x:c>
      <x:c r="E14" s="23" t="str">
        <x:f>IF('Task List'!$B14="","",'Task List'!F14)</x:f>
        <x:v>Elena Rostova</x:v>
      </x:c>
      <x:c r="F14" s="24" t="n">
        <x:f>IF('Task List'!$B14="","",'Task List'!G14)</x:f>
        <x:v>46316</x:v>
      </x:c>
      <x:c r="G14" s="24" t="n">
        <x:f>IF('Task List'!$B14="","",'Task List'!H14)</x:f>
        <x:v>46330</x:v>
      </x:c>
      <x:c r="H14" s="26" t="n">
        <x:f>IF('Task List'!$B14="","",'Task List'!I14)</x:f>
        <x:v>15</x:v>
      </x:c>
      <x:c r="I14" s="22" t="str">
        <x:f>IF('Task List'!$B14="","",'Task List'!J14)</x:f>
        <x:v>In Progress</x:v>
      </x:c>
      <x:c r="J14" s="22" t="str">
        <x:f>IF('Task List'!$B14="","",'Task List'!K14)</x:f>
        <x:v>High</x:v>
      </x:c>
      <x:c r="K14" s="25" t="n">
        <x:f>IF('Task List'!$B14="","",'Task List'!L14)</x:f>
        <x:v>0.8</x:v>
      </x:c>
      <x:c r="L14" s="22" t="str">
        <x:f>IF('Task List'!$B14="","",'Task List'!M14)</x:f>
        <x:v>TSK-04</x:v>
      </x:c>
      <x:c r="M14" s="22" t="str">
        <x:f>IF('Task List'!$B14="","",'Task List'!N14)</x:f>
        <x:v>No</x:v>
      </x:c>
      <x:c r="N14" s="21" t="str">
        <x:f>IF('Task List'!$B14="","",'Task List'!Q14)</x:f>
        <x:v>Overdue</x:v>
      </x:c>
      <x:c r="O14" s="30" t="str">
        <x:f>IF(OR($F14="",$G14=""),"",IF(AND($F14&lt;=O$9+6,$G14&gt;=O$9),IF($M14="Yes","◆","■"),""))</x:f>
      </x:c>
      <x:c r="P14" s="30" t="str">
        <x:f>IF(OR($F14="",$G14=""),"",IF(AND($F14&lt;=P$9+6,$G14&gt;=P$9),IF($M14="Yes","◆","■"),""))</x:f>
      </x:c>
      <x:c r="Q14" s="30" t="str">
        <x:f>IF(OR($F14="",$G14=""),"",IF(AND($F14&lt;=Q$9+6,$G14&gt;=Q$9),IF($M14="Yes","◆","■"),""))</x:f>
        <x:v>■</x:v>
      </x:c>
      <x:c r="R14" s="30" t="str">
        <x:f>IF(OR($F14="",$G14=""),"",IF(AND($F14&lt;=R$9+6,$G14&gt;=R$9),IF($M14="Yes","◆","■"),""))</x:f>
        <x:v>■</x:v>
      </x:c>
      <x:c r="S14" s="30" t="str">
        <x:f>IF(OR($F14="",$G14=""),"",IF(AND($F14&lt;=S$9+6,$G14&gt;=S$9),IF($M14="Yes","◆","■"),""))</x:f>
        <x:v>■</x:v>
      </x:c>
      <x:c r="T14" s="30" t="str">
        <x:f>IF(OR($F14="",$G14=""),"",IF(AND($F14&lt;=T$9+6,$G14&gt;=T$9),IF($M14="Yes","◆","■"),""))</x:f>
      </x:c>
      <x:c r="U14" s="30" t="str">
        <x:f>IF(OR($F14="",$G14=""),"",IF(AND($F14&lt;=U$9+6,$G14&gt;=U$9),IF($M14="Yes","◆","■"),""))</x:f>
      </x:c>
      <x:c r="V14" s="30" t="str">
        <x:f>IF(OR($F14="",$G14=""),"",IF(AND($F14&lt;=V$9+6,$G14&gt;=V$9),IF($M14="Yes","◆","■"),""))</x:f>
      </x:c>
      <x:c r="W14" s="30" t="str">
        <x:f>IF(OR($F14="",$G14=""),"",IF(AND($F14&lt;=W$9+6,$G14&gt;=W$9),IF($M14="Yes","◆","■"),""))</x:f>
      </x:c>
      <x:c r="X14" s="30" t="str">
        <x:f>IF(OR($F14="",$G14=""),"",IF(AND($F14&lt;=X$9+6,$G14&gt;=X$9),IF($M14="Yes","◆","■"),""))</x:f>
      </x:c>
      <x:c r="Y14" s="30" t="str">
        <x:f>IF(OR($F14="",$G14=""),"",IF(AND($F14&lt;=Y$9+6,$G14&gt;=Y$9),IF($M14="Yes","◆","■"),""))</x:f>
      </x:c>
      <x:c r="Z14" s="30" t="str">
        <x:f>IF(OR($F14="",$G14=""),"",IF(AND($F14&lt;=Z$9+6,$G14&gt;=Z$9),IF($M14="Yes","◆","■"),""))</x:f>
      </x:c>
      <x:c r="AA14" s="30" t="str">
        <x:f>IF(OR($F14="",$G14=""),"",IF(AND($F14&lt;=AA$9+6,$G14&gt;=AA$9),IF($M14="Yes","◆","■"),""))</x:f>
      </x:c>
      <x:c r="AB14" s="30" t="str">
        <x:f>IF(OR($F14="",$G14=""),"",IF(AND($F14&lt;=AB$9+6,$G14&gt;=AB$9),IF($M14="Yes","◆","■"),""))</x:f>
      </x:c>
      <x:c r="AC14" t="str">
        <x:f>IF(OR($F14="",$G14=""),"",IF(AND($F14&lt;=AC$9+6,$G14&gt;=AC$9),IF($M14="Yes","◆","■"),""))</x:f>
      </x:c>
      <x:c r="AD14" t="str">
        <x:f>IF(OR($F14="",$G14=""),"",IF(AND($F14&lt;=AD$9+6,$G14&gt;=AD$9),IF($M14="Yes","◆","■"),""))</x:f>
      </x:c>
      <x:c r="AE14" t="str">
        <x:f>IF(OR($F14="",$G14=""),"",IF(AND($F14&lt;=AE$9+6,$G14&gt;=AE$9),IF($M14="Yes","◆","■"),""))</x:f>
      </x:c>
      <x:c r="AF14" t="str">
        <x:f>IF(OR($F14="",$G14=""),"",IF(AND($F14&lt;=AF$9+6,$G14&gt;=AF$9),IF($M14="Yes","◆","■"),""))</x:f>
      </x:c>
      <x:c r="AG14" t="str">
        <x:f>IF(OR($F14="",$G14=""),"",IF(AND($F14&lt;=AG$9+6,$G14&gt;=AG$9),IF($M14="Yes","◆","■"),""))</x:f>
      </x:c>
      <x:c r="AH14" t="str">
        <x:f>IF(OR($F14="",$G14=""),"",IF(AND($F14&lt;=AH$9+6,$G14&gt;=AH$9),IF($M14="Yes","◆","■"),""))</x:f>
      </x:c>
    </x:row>
    <x:row r="15">
      <x:c r="B15" s="21" t="str">
        <x:f>IF('Task List'!$B15="","",'Task List'!B15)</x:f>
        <x:v>TSK-06</x:v>
      </x:c>
      <x:c r="C15" s="22" t="str">
        <x:f>IF('Task List'!$B15="","",'Task List'!C15)</x:f>
        <x:v>Planning</x:v>
      </x:c>
      <x:c r="D15" s="23" t="str">
        <x:f>IF('Task List'!$B15="","",'Task List'!D15)</x:f>
        <x:v>Project Roadmap &amp; Resource Allocation</x:v>
      </x:c>
      <x:c r="E15" s="23" t="str">
        <x:f>IF('Task List'!$B15="","",'Task List'!F15)</x:f>
        <x:v>Alex Morgan</x:v>
      </x:c>
      <x:c r="F15" s="24" t="n">
        <x:f>IF('Task List'!$B15="","",'Task List'!G15)</x:f>
        <x:v>46321</x:v>
      </x:c>
      <x:c r="G15" s="24" t="n">
        <x:f>IF('Task List'!$B15="","",'Task List'!H15)</x:f>
        <x:v>46330</x:v>
      </x:c>
      <x:c r="H15" s="26" t="n">
        <x:f>IF('Task List'!$B15="","",'Task List'!I15)</x:f>
        <x:v>10</x:v>
      </x:c>
      <x:c r="I15" s="22" t="str">
        <x:f>IF('Task List'!$B15="","",'Task List'!J15)</x:f>
        <x:v>Completed</x:v>
      </x:c>
      <x:c r="J15" s="22" t="str">
        <x:f>IF('Task List'!$B15="","",'Task List'!K15)</x:f>
        <x:v>High</x:v>
      </x:c>
      <x:c r="K15" s="25" t="n">
        <x:f>IF('Task List'!$B15="","",'Task List'!L15)</x:f>
        <x:v>1</x:v>
      </x:c>
      <x:c r="L15" s="22" t="str">
        <x:f>IF('Task List'!$B15="","",'Task List'!M15)</x:f>
        <x:v>TSK-04</x:v>
      </x:c>
      <x:c r="M15" s="22" t="str">
        <x:f>IF('Task List'!$B15="","",'Task List'!N15)</x:f>
        <x:v>Yes</x:v>
      </x:c>
      <x:c r="N15" s="21" t="str">
        <x:f>IF('Task List'!$B15="","",'Task List'!Q15)</x:f>
        <x:v>Completed</x:v>
      </x:c>
      <x:c r="O15" s="30" t="str">
        <x:f>IF(OR($F15="",$G15=""),"",IF(AND($F15&lt;=O$9+6,$G15&gt;=O$9),IF($M15="Yes","◆","■"),""))</x:f>
      </x:c>
      <x:c r="P15" s="30" t="str">
        <x:f>IF(OR($F15="",$G15=""),"",IF(AND($F15&lt;=P$9+6,$G15&gt;=P$9),IF($M15="Yes","◆","■"),""))</x:f>
      </x:c>
      <x:c r="Q15" s="30" t="str">
        <x:f>IF(OR($F15="",$G15=""),"",IF(AND($F15&lt;=Q$9+6,$G15&gt;=Q$9),IF($M15="Yes","◆","■"),""))</x:f>
      </x:c>
      <x:c r="R15" s="30" t="str">
        <x:f>IF(OR($F15="",$G15=""),"",IF(AND($F15&lt;=R$9+6,$G15&gt;=R$9),IF($M15="Yes","◆","■"),""))</x:f>
        <x:v>◆</x:v>
      </x:c>
      <x:c r="S15" s="30" t="str">
        <x:f>IF(OR($F15="",$G15=""),"",IF(AND($F15&lt;=S$9+6,$G15&gt;=S$9),IF($M15="Yes","◆","■"),""))</x:f>
        <x:v>◆</x:v>
      </x:c>
      <x:c r="T15" s="30" t="str">
        <x:f>IF(OR($F15="",$G15=""),"",IF(AND($F15&lt;=T$9+6,$G15&gt;=T$9),IF($M15="Yes","◆","■"),""))</x:f>
      </x:c>
      <x:c r="U15" s="30" t="str">
        <x:f>IF(OR($F15="",$G15=""),"",IF(AND($F15&lt;=U$9+6,$G15&gt;=U$9),IF($M15="Yes","◆","■"),""))</x:f>
      </x:c>
      <x:c r="V15" s="30" t="str">
        <x:f>IF(OR($F15="",$G15=""),"",IF(AND($F15&lt;=V$9+6,$G15&gt;=V$9),IF($M15="Yes","◆","■"),""))</x:f>
      </x:c>
      <x:c r="W15" s="30" t="str">
        <x:f>IF(OR($F15="",$G15=""),"",IF(AND($F15&lt;=W$9+6,$G15&gt;=W$9),IF($M15="Yes","◆","■"),""))</x:f>
      </x:c>
      <x:c r="X15" s="30" t="str">
        <x:f>IF(OR($F15="",$G15=""),"",IF(AND($F15&lt;=X$9+6,$G15&gt;=X$9),IF($M15="Yes","◆","■"),""))</x:f>
      </x:c>
      <x:c r="Y15" s="30" t="str">
        <x:f>IF(OR($F15="",$G15=""),"",IF(AND($F15&lt;=Y$9+6,$G15&gt;=Y$9),IF($M15="Yes","◆","■"),""))</x:f>
      </x:c>
      <x:c r="Z15" s="30" t="str">
        <x:f>IF(OR($F15="",$G15=""),"",IF(AND($F15&lt;=Z$9+6,$G15&gt;=Z$9),IF($M15="Yes","◆","■"),""))</x:f>
      </x:c>
      <x:c r="AA15" s="30" t="str">
        <x:f>IF(OR($F15="",$G15=""),"",IF(AND($F15&lt;=AA$9+6,$G15&gt;=AA$9),IF($M15="Yes","◆","■"),""))</x:f>
      </x:c>
      <x:c r="AB15" s="30" t="str">
        <x:f>IF(OR($F15="",$G15=""),"",IF(AND($F15&lt;=AB$9+6,$G15&gt;=AB$9),IF($M15="Yes","◆","■"),""))</x:f>
      </x:c>
      <x:c r="AC15" t="str">
        <x:f>IF(OR($F15="",$G15=""),"",IF(AND($F15&lt;=AC$9+6,$G15&gt;=AC$9),IF($M15="Yes","◆","■"),""))</x:f>
      </x:c>
      <x:c r="AD15" t="str">
        <x:f>IF(OR($F15="",$G15=""),"",IF(AND($F15&lt;=AD$9+6,$G15&gt;=AD$9),IF($M15="Yes","◆","■"),""))</x:f>
      </x:c>
      <x:c r="AE15" t="str">
        <x:f>IF(OR($F15="",$G15=""),"",IF(AND($F15&lt;=AE$9+6,$G15&gt;=AE$9),IF($M15="Yes","◆","■"),""))</x:f>
      </x:c>
      <x:c r="AF15" t="str">
        <x:f>IF(OR($F15="",$G15=""),"",IF(AND($F15&lt;=AF$9+6,$G15&gt;=AF$9),IF($M15="Yes","◆","■"),""))</x:f>
      </x:c>
      <x:c r="AG15" t="str">
        <x:f>IF(OR($F15="",$G15=""),"",IF(AND($F15&lt;=AG$9+6,$G15&gt;=AG$9),IF($M15="Yes","◆","■"),""))</x:f>
      </x:c>
      <x:c r="AH15" t="str">
        <x:f>IF(OR($F15="",$G15=""),"",IF(AND($F15&lt;=AH$9+6,$G15&gt;=AH$9),IF($M15="Yes","◆","■"),""))</x:f>
      </x:c>
    </x:row>
    <x:row r="16">
      <x:c r="B16" s="21" t="str">
        <x:f>IF('Task List'!$B16="","",'Task List'!B16)</x:f>
        <x:v>TSK-07</x:v>
      </x:c>
      <x:c r="C16" s="22" t="str">
        <x:f>IF('Task List'!$B16="","",'Task List'!C16)</x:f>
        <x:v>Design</x:v>
      </x:c>
      <x:c r="D16" s="23" t="str">
        <x:f>IF('Task List'!$B16="","",'Task List'!D16)</x:f>
        <x:v>Wireframe &amp; UX Prototype Drafting</x:v>
      </x:c>
      <x:c r="E16" s="23" t="str">
        <x:f>IF('Task List'!$B16="","",'Task List'!F16)</x:f>
        <x:v>Sarah Chen</x:v>
      </x:c>
      <x:c r="F16" s="24" t="n">
        <x:f>IF('Task List'!$B16="","",'Task List'!G16)</x:f>
        <x:v>46328</x:v>
      </x:c>
      <x:c r="G16" s="24" t="n">
        <x:f>IF('Task List'!$B16="","",'Task List'!H16)</x:f>
        <x:v>46342</x:v>
      </x:c>
      <x:c r="H16" s="26" t="n">
        <x:f>IF('Task List'!$B16="","",'Task List'!I16)</x:f>
        <x:v>15</x:v>
      </x:c>
      <x:c r="I16" s="22" t="str">
        <x:f>IF('Task List'!$B16="","",'Task List'!J16)</x:f>
        <x:v>In Progress</x:v>
      </x:c>
      <x:c r="J16" s="22" t="str">
        <x:f>IF('Task List'!$B16="","",'Task List'!K16)</x:f>
        <x:v>Medium</x:v>
      </x:c>
      <x:c r="K16" s="25" t="n">
        <x:f>IF('Task List'!$B16="","",'Task List'!L16)</x:f>
        <x:v>0.6</x:v>
      </x:c>
      <x:c r="L16" s="22" t="str">
        <x:f>IF('Task List'!$B16="","",'Task List'!M16)</x:f>
        <x:v>TSK-06</x:v>
      </x:c>
      <x:c r="M16" s="22" t="str">
        <x:f>IF('Task List'!$B16="","",'Task List'!N16)</x:f>
        <x:v>No</x:v>
      </x:c>
      <x:c r="N16" s="21" t="str">
        <x:f>IF('Task List'!$B16="","",'Task List'!Q16)</x:f>
        <x:v>Due Soon</x:v>
      </x:c>
      <x:c r="O16" s="30" t="str">
        <x:f>IF(OR($F16="",$G16=""),"",IF(AND($F16&lt;=O$9+6,$G16&gt;=O$9),IF($M16="Yes","◆","■"),""))</x:f>
      </x:c>
      <x:c r="P16" s="30" t="str">
        <x:f>IF(OR($F16="",$G16=""),"",IF(AND($F16&lt;=P$9+6,$G16&gt;=P$9),IF($M16="Yes","◆","■"),""))</x:f>
      </x:c>
      <x:c r="Q16" s="30" t="str">
        <x:f>IF(OR($F16="",$G16=""),"",IF(AND($F16&lt;=Q$9+6,$G16&gt;=Q$9),IF($M16="Yes","◆","■"),""))</x:f>
      </x:c>
      <x:c r="R16" s="30" t="str">
        <x:f>IF(OR($F16="",$G16=""),"",IF(AND($F16&lt;=R$9+6,$G16&gt;=R$9),IF($M16="Yes","◆","■"),""))</x:f>
      </x:c>
      <x:c r="S16" s="30" t="str">
        <x:f>IF(OR($F16="",$G16=""),"",IF(AND($F16&lt;=S$9+6,$G16&gt;=S$9),IF($M16="Yes","◆","■"),""))</x:f>
        <x:v>■</x:v>
      </x:c>
      <x:c r="T16" s="30" t="str">
        <x:f>IF(OR($F16="",$G16=""),"",IF(AND($F16&lt;=T$9+6,$G16&gt;=T$9),IF($M16="Yes","◆","■"),""))</x:f>
        <x:v>■</x:v>
      </x:c>
      <x:c r="U16" s="30" t="str">
        <x:f>IF(OR($F16="",$G16=""),"",IF(AND($F16&lt;=U$9+6,$G16&gt;=U$9),IF($M16="Yes","◆","■"),""))</x:f>
        <x:v>■</x:v>
      </x:c>
      <x:c r="V16" s="30" t="str">
        <x:f>IF(OR($F16="",$G16=""),"",IF(AND($F16&lt;=V$9+6,$G16&gt;=V$9),IF($M16="Yes","◆","■"),""))</x:f>
      </x:c>
      <x:c r="W16" s="30" t="str">
        <x:f>IF(OR($F16="",$G16=""),"",IF(AND($F16&lt;=W$9+6,$G16&gt;=W$9),IF($M16="Yes","◆","■"),""))</x:f>
      </x:c>
      <x:c r="X16" s="30" t="str">
        <x:f>IF(OR($F16="",$G16=""),"",IF(AND($F16&lt;=X$9+6,$G16&gt;=X$9),IF($M16="Yes","◆","■"),""))</x:f>
      </x:c>
      <x:c r="Y16" s="30" t="str">
        <x:f>IF(OR($F16="",$G16=""),"",IF(AND($F16&lt;=Y$9+6,$G16&gt;=Y$9),IF($M16="Yes","◆","■"),""))</x:f>
      </x:c>
      <x:c r="Z16" s="30" t="str">
        <x:f>IF(OR($F16="",$G16=""),"",IF(AND($F16&lt;=Z$9+6,$G16&gt;=Z$9),IF($M16="Yes","◆","■"),""))</x:f>
      </x:c>
      <x:c r="AA16" s="30" t="str">
        <x:f>IF(OR($F16="",$G16=""),"",IF(AND($F16&lt;=AA$9+6,$G16&gt;=AA$9),IF($M16="Yes","◆","■"),""))</x:f>
      </x:c>
      <x:c r="AB16" s="30" t="str">
        <x:f>IF(OR($F16="",$G16=""),"",IF(AND($F16&lt;=AB$9+6,$G16&gt;=AB$9),IF($M16="Yes","◆","■"),""))</x:f>
      </x:c>
      <x:c r="AC16" t="str">
        <x:f>IF(OR($F16="",$G16=""),"",IF(AND($F16&lt;=AC$9+6,$G16&gt;=AC$9),IF($M16="Yes","◆","■"),""))</x:f>
      </x:c>
      <x:c r="AD16" t="str">
        <x:f>IF(OR($F16="",$G16=""),"",IF(AND($F16&lt;=AD$9+6,$G16&gt;=AD$9),IF($M16="Yes","◆","■"),""))</x:f>
      </x:c>
      <x:c r="AE16" t="str">
        <x:f>IF(OR($F16="",$G16=""),"",IF(AND($F16&lt;=AE$9+6,$G16&gt;=AE$9),IF($M16="Yes","◆","■"),""))</x:f>
      </x:c>
      <x:c r="AF16" t="str">
        <x:f>IF(OR($F16="",$G16=""),"",IF(AND($F16&lt;=AF$9+6,$G16&gt;=AF$9),IF($M16="Yes","◆","■"),""))</x:f>
      </x:c>
      <x:c r="AG16" t="str">
        <x:f>IF(OR($F16="",$G16=""),"",IF(AND($F16&lt;=AG$9+6,$G16&gt;=AG$9),IF($M16="Yes","◆","■"),""))</x:f>
      </x:c>
      <x:c r="AH16" t="str">
        <x:f>IF(OR($F16="",$G16=""),"",IF(AND($F16&lt;=AH$9+6,$G16&gt;=AH$9),IF($M16="Yes","◆","■"),""))</x:f>
      </x:c>
    </x:row>
    <x:row r="17">
      <x:c r="B17" s="21" t="str">
        <x:f>IF('Task List'!$B17="","",'Task List'!B17)</x:f>
        <x:v>TSK-08</x:v>
      </x:c>
      <x:c r="C17" s="22" t="str">
        <x:f>IF('Task List'!$B17="","",'Task List'!C17)</x:f>
        <x:v>Design</x:v>
      </x:c>
      <x:c r="D17" s="23" t="str">
        <x:f>IF('Task List'!$B17="","",'Task List'!D17)</x:f>
        <x:v>Brand Design System &amp; UI Kit</x:v>
      </x:c>
      <x:c r="E17" s="23" t="str">
        <x:f>IF('Task List'!$B17="","",'Task List'!F17)</x:f>
        <x:v>Sarah Chen</x:v>
      </x:c>
      <x:c r="F17" s="24" t="n">
        <x:f>IF('Task List'!$B17="","",'Task List'!G17)</x:f>
        <x:v>46335</x:v>
      </x:c>
      <x:c r="G17" s="24" t="n">
        <x:f>IF('Task List'!$B17="","",'Task List'!H17)</x:f>
        <x:v>46346</x:v>
      </x:c>
      <x:c r="H17" s="26" t="n">
        <x:f>IF('Task List'!$B17="","",'Task List'!I17)</x:f>
        <x:v>12</x:v>
      </x:c>
      <x:c r="I17" s="22" t="str">
        <x:f>IF('Task List'!$B17="","",'Task List'!J17)</x:f>
        <x:v>In Progress</x:v>
      </x:c>
      <x:c r="J17" s="22" t="str">
        <x:f>IF('Task List'!$B17="","",'Task List'!K17)</x:f>
        <x:v>Medium</x:v>
      </x:c>
      <x:c r="K17" s="25" t="n">
        <x:f>IF('Task List'!$B17="","",'Task List'!L17)</x:f>
        <x:v>0.25</x:v>
      </x:c>
      <x:c r="L17" s="22" t="str">
        <x:f>IF('Task List'!$B17="","",'Task List'!M17)</x:f>
        <x:v>TSK-07</x:v>
      </x:c>
      <x:c r="M17" s="22" t="str">
        <x:f>IF('Task List'!$B17="","",'Task List'!N17)</x:f>
        <x:v>No</x:v>
      </x:c>
      <x:c r="N17" s="21" t="str">
        <x:f>IF('Task List'!$B17="","",'Task List'!Q17)</x:f>
        <x:v>In Progress</x:v>
      </x:c>
      <x:c r="O17" s="30" t="str">
        <x:f>IF(OR($F17="",$G17=""),"",IF(AND($F17&lt;=O$9+6,$G17&gt;=O$9),IF($M17="Yes","◆","■"),""))</x:f>
      </x:c>
      <x:c r="P17" s="30" t="str">
        <x:f>IF(OR($F17="",$G17=""),"",IF(AND($F17&lt;=P$9+6,$G17&gt;=P$9),IF($M17="Yes","◆","■"),""))</x:f>
      </x:c>
      <x:c r="Q17" s="30" t="str">
        <x:f>IF(OR($F17="",$G17=""),"",IF(AND($F17&lt;=Q$9+6,$G17&gt;=Q$9),IF($M17="Yes","◆","■"),""))</x:f>
      </x:c>
      <x:c r="R17" s="30" t="str">
        <x:f>IF(OR($F17="",$G17=""),"",IF(AND($F17&lt;=R$9+6,$G17&gt;=R$9),IF($M17="Yes","◆","■"),""))</x:f>
      </x:c>
      <x:c r="S17" s="30" t="str">
        <x:f>IF(OR($F17="",$G17=""),"",IF(AND($F17&lt;=S$9+6,$G17&gt;=S$9),IF($M17="Yes","◆","■"),""))</x:f>
      </x:c>
      <x:c r="T17" s="30" t="str">
        <x:f>IF(OR($F17="",$G17=""),"",IF(AND($F17&lt;=T$9+6,$G17&gt;=T$9),IF($M17="Yes","◆","■"),""))</x:f>
        <x:v>■</x:v>
      </x:c>
      <x:c r="U17" s="30" t="str">
        <x:f>IF(OR($F17="",$G17=""),"",IF(AND($F17&lt;=U$9+6,$G17&gt;=U$9),IF($M17="Yes","◆","■"),""))</x:f>
        <x:v>■</x:v>
      </x:c>
      <x:c r="V17" s="30" t="str">
        <x:f>IF(OR($F17="",$G17=""),"",IF(AND($F17&lt;=V$9+6,$G17&gt;=V$9),IF($M17="Yes","◆","■"),""))</x:f>
      </x:c>
      <x:c r="W17" s="30" t="str">
        <x:f>IF(OR($F17="",$G17=""),"",IF(AND($F17&lt;=W$9+6,$G17&gt;=W$9),IF($M17="Yes","◆","■"),""))</x:f>
      </x:c>
      <x:c r="X17" s="30" t="str">
        <x:f>IF(OR($F17="",$G17=""),"",IF(AND($F17&lt;=X$9+6,$G17&gt;=X$9),IF($M17="Yes","◆","■"),""))</x:f>
      </x:c>
      <x:c r="Y17" s="30" t="str">
        <x:f>IF(OR($F17="",$G17=""),"",IF(AND($F17&lt;=Y$9+6,$G17&gt;=Y$9),IF($M17="Yes","◆","■"),""))</x:f>
      </x:c>
      <x:c r="Z17" s="30" t="str">
        <x:f>IF(OR($F17="",$G17=""),"",IF(AND($F17&lt;=Z$9+6,$G17&gt;=Z$9),IF($M17="Yes","◆","■"),""))</x:f>
      </x:c>
      <x:c r="AA17" s="30" t="str">
        <x:f>IF(OR($F17="",$G17=""),"",IF(AND($F17&lt;=AA$9+6,$G17&gt;=AA$9),IF($M17="Yes","◆","■"),""))</x:f>
      </x:c>
      <x:c r="AB17" s="30" t="str">
        <x:f>IF(OR($F17="",$G17=""),"",IF(AND($F17&lt;=AB$9+6,$G17&gt;=AB$9),IF($M17="Yes","◆","■"),""))</x:f>
      </x:c>
      <x:c r="AC17" t="str">
        <x:f>IF(OR($F17="",$G17=""),"",IF(AND($F17&lt;=AC$9+6,$G17&gt;=AC$9),IF($M17="Yes","◆","■"),""))</x:f>
      </x:c>
      <x:c r="AD17" t="str">
        <x:f>IF(OR($F17="",$G17=""),"",IF(AND($F17&lt;=AD$9+6,$G17&gt;=AD$9),IF($M17="Yes","◆","■"),""))</x:f>
      </x:c>
      <x:c r="AE17" t="str">
        <x:f>IF(OR($F17="",$G17=""),"",IF(AND($F17&lt;=AE$9+6,$G17&gt;=AE$9),IF($M17="Yes","◆","■"),""))</x:f>
      </x:c>
      <x:c r="AF17" t="str">
        <x:f>IF(OR($F17="",$G17=""),"",IF(AND($F17&lt;=AF$9+6,$G17&gt;=AF$9),IF($M17="Yes","◆","■"),""))</x:f>
      </x:c>
      <x:c r="AG17" t="str">
        <x:f>IF(OR($F17="",$G17=""),"",IF(AND($F17&lt;=AG$9+6,$G17&gt;=AG$9),IF($M17="Yes","◆","■"),""))</x:f>
      </x:c>
      <x:c r="AH17" t="str">
        <x:f>IF(OR($F17="",$G17=""),"",IF(AND($F17&lt;=AH$9+6,$G17&gt;=AH$9),IF($M17="Yes","◆","■"),""))</x:f>
      </x:c>
    </x:row>
    <x:row r="18">
      <x:c r="B18" s="21" t="str">
        <x:f>IF('Task List'!$B18="","",'Task List'!B18)</x:f>
        <x:v>TSK-09</x:v>
      </x:c>
      <x:c r="C18" s="22" t="str">
        <x:f>IF('Task List'!$B18="","",'Task List'!C18)</x:f>
        <x:v>Design</x:v>
      </x:c>
      <x:c r="D18" s="23" t="str">
        <x:f>IF('Task List'!$B18="","",'Task List'!D18)</x:f>
        <x:v>Client Prototype Review &amp; Approval</x:v>
      </x:c>
      <x:c r="E18" s="23" t="str">
        <x:f>IF('Task List'!$B18="","",'Task List'!F18)</x:f>
        <x:v>Alex Morgan</x:v>
      </x:c>
      <x:c r="F18" s="24" t="n">
        <x:f>IF('Task List'!$B18="","",'Task List'!G18)</x:f>
        <x:v>46346</x:v>
      </x:c>
      <x:c r="G18" s="24" t="n">
        <x:f>IF('Task List'!$B18="","",'Task List'!H18)</x:f>
        <x:v>46346</x:v>
      </x:c>
      <x:c r="H18" s="26" t="n">
        <x:f>IF('Task List'!$B18="","",'Task List'!I18)</x:f>
        <x:v>1</x:v>
      </x:c>
      <x:c r="I18" s="22" t="str">
        <x:f>IF('Task List'!$B18="","",'Task List'!J18)</x:f>
        <x:v>Not Started</x:v>
      </x:c>
      <x:c r="J18" s="22" t="str">
        <x:f>IF('Task List'!$B18="","",'Task List'!K18)</x:f>
        <x:v>Critical</x:v>
      </x:c>
      <x:c r="K18" s="25" t="n">
        <x:f>IF('Task List'!$B18="","",'Task List'!L18)</x:f>
        <x:v>0</x:v>
      </x:c>
      <x:c r="L18" s="22" t="str">
        <x:f>IF('Task List'!$B18="","",'Task List'!M18)</x:f>
        <x:v>TSK-08</x:v>
      </x:c>
      <x:c r="M18" s="22" t="str">
        <x:f>IF('Task List'!$B18="","",'Task List'!N18)</x:f>
        <x:v>Yes</x:v>
      </x:c>
      <x:c r="N18" s="21" t="str">
        <x:f>IF('Task List'!$B18="","",'Task List'!Q18)</x:f>
        <x:v>Not Started</x:v>
      </x:c>
      <x:c r="O18" s="30" t="str">
        <x:f>IF(OR($F18="",$G18=""),"",IF(AND($F18&lt;=O$9+6,$G18&gt;=O$9),IF($M18="Yes","◆","■"),""))</x:f>
      </x:c>
      <x:c r="P18" s="30" t="str">
        <x:f>IF(OR($F18="",$G18=""),"",IF(AND($F18&lt;=P$9+6,$G18&gt;=P$9),IF($M18="Yes","◆","■"),""))</x:f>
      </x:c>
      <x:c r="Q18" s="30" t="str">
        <x:f>IF(OR($F18="",$G18=""),"",IF(AND($F18&lt;=Q$9+6,$G18&gt;=Q$9),IF($M18="Yes","◆","■"),""))</x:f>
      </x:c>
      <x:c r="R18" s="30" t="str">
        <x:f>IF(OR($F18="",$G18=""),"",IF(AND($F18&lt;=R$9+6,$G18&gt;=R$9),IF($M18="Yes","◆","■"),""))</x:f>
      </x:c>
      <x:c r="S18" s="30" t="str">
        <x:f>IF(OR($F18="",$G18=""),"",IF(AND($F18&lt;=S$9+6,$G18&gt;=S$9),IF($M18="Yes","◆","■"),""))</x:f>
      </x:c>
      <x:c r="T18" s="30" t="str">
        <x:f>IF(OR($F18="",$G18=""),"",IF(AND($F18&lt;=T$9+6,$G18&gt;=T$9),IF($M18="Yes","◆","■"),""))</x:f>
      </x:c>
      <x:c r="U18" s="30" t="str">
        <x:f>IF(OR($F18="",$G18=""),"",IF(AND($F18&lt;=U$9+6,$G18&gt;=U$9),IF($M18="Yes","◆","■"),""))</x:f>
        <x:v>◆</x:v>
      </x:c>
      <x:c r="V18" s="30" t="str">
        <x:f>IF(OR($F18="",$G18=""),"",IF(AND($F18&lt;=V$9+6,$G18&gt;=V$9),IF($M18="Yes","◆","■"),""))</x:f>
      </x:c>
      <x:c r="W18" s="30" t="str">
        <x:f>IF(OR($F18="",$G18=""),"",IF(AND($F18&lt;=W$9+6,$G18&gt;=W$9),IF($M18="Yes","◆","■"),""))</x:f>
      </x:c>
      <x:c r="X18" s="30" t="str">
        <x:f>IF(OR($F18="",$G18=""),"",IF(AND($F18&lt;=X$9+6,$G18&gt;=X$9),IF($M18="Yes","◆","■"),""))</x:f>
      </x:c>
      <x:c r="Y18" s="30" t="str">
        <x:f>IF(OR($F18="",$G18=""),"",IF(AND($F18&lt;=Y$9+6,$G18&gt;=Y$9),IF($M18="Yes","◆","■"),""))</x:f>
      </x:c>
      <x:c r="Z18" s="30" t="str">
        <x:f>IF(OR($F18="",$G18=""),"",IF(AND($F18&lt;=Z$9+6,$G18&gt;=Z$9),IF($M18="Yes","◆","■"),""))</x:f>
      </x:c>
      <x:c r="AA18" s="30" t="str">
        <x:f>IF(OR($F18="",$G18=""),"",IF(AND($F18&lt;=AA$9+6,$G18&gt;=AA$9),IF($M18="Yes","◆","■"),""))</x:f>
      </x:c>
      <x:c r="AB18" s="30" t="str">
        <x:f>IF(OR($F18="",$G18=""),"",IF(AND($F18&lt;=AB$9+6,$G18&gt;=AB$9),IF($M18="Yes","◆","■"),""))</x:f>
      </x:c>
      <x:c r="AC18" t="str">
        <x:f>IF(OR($F18="",$G18=""),"",IF(AND($F18&lt;=AC$9+6,$G18&gt;=AC$9),IF($M18="Yes","◆","■"),""))</x:f>
      </x:c>
      <x:c r="AD18" t="str">
        <x:f>IF(OR($F18="",$G18=""),"",IF(AND($F18&lt;=AD$9+6,$G18&gt;=AD$9),IF($M18="Yes","◆","■"),""))</x:f>
      </x:c>
      <x:c r="AE18" t="str">
        <x:f>IF(OR($F18="",$G18=""),"",IF(AND($F18&lt;=AE$9+6,$G18&gt;=AE$9),IF($M18="Yes","◆","■"),""))</x:f>
      </x:c>
      <x:c r="AF18" t="str">
        <x:f>IF(OR($F18="",$G18=""),"",IF(AND($F18&lt;=AF$9+6,$G18&gt;=AF$9),IF($M18="Yes","◆","■"),""))</x:f>
      </x:c>
      <x:c r="AG18" t="str">
        <x:f>IF(OR($F18="",$G18=""),"",IF(AND($F18&lt;=AG$9+6,$G18&gt;=AG$9),IF($M18="Yes","◆","■"),""))</x:f>
      </x:c>
      <x:c r="AH18" t="str">
        <x:f>IF(OR($F18="",$G18=""),"",IF(AND($F18&lt;=AH$9+6,$G18&gt;=AH$9),IF($M18="Yes","◆","■"),""))</x:f>
      </x:c>
    </x:row>
    <x:row r="19">
      <x:c r="B19" s="21" t="str">
        <x:f>IF('Task List'!$B19="","",'Task List'!B19)</x:f>
        <x:v>TSK-10</x:v>
      </x:c>
      <x:c r="C19" s="22" t="str">
        <x:f>IF('Task List'!$B19="","",'Task List'!C19)</x:f>
        <x:v>Build</x:v>
      </x:c>
      <x:c r="D19" s="23" t="str">
        <x:f>IF('Task List'!$B19="","",'Task List'!D19)</x:f>
        <x:v>Authentication &amp; SSO Integration</x:v>
      </x:c>
      <x:c r="E19" s="23" t="str">
        <x:f>IF('Task List'!$B19="","",'Task List'!F19)</x:f>
        <x:v>Marcus Vance</x:v>
      </x:c>
      <x:c r="F19" s="24" t="n">
        <x:f>IF('Task List'!$B19="","",'Task List'!G19)</x:f>
        <x:v>46349</x:v>
      </x:c>
      <x:c r="G19" s="24" t="n">
        <x:f>IF('Task List'!$B19="","",'Task List'!H19)</x:f>
        <x:v>46364</x:v>
      </x:c>
      <x:c r="H19" s="26" t="n">
        <x:f>IF('Task List'!$B19="","",'Task List'!I19)</x:f>
        <x:v>16</x:v>
      </x:c>
      <x:c r="I19" s="22" t="str">
        <x:f>IF('Task List'!$B19="","",'Task List'!J19)</x:f>
        <x:v>Not Started</x:v>
      </x:c>
      <x:c r="J19" s="22" t="str">
        <x:f>IF('Task List'!$B19="","",'Task List'!K19)</x:f>
        <x:v>High</x:v>
      </x:c>
      <x:c r="K19" s="25" t="n">
        <x:f>IF('Task List'!$B19="","",'Task List'!L19)</x:f>
        <x:v>0</x:v>
      </x:c>
      <x:c r="L19" s="22" t="str">
        <x:f>IF('Task List'!$B19="","",'Task List'!M19)</x:f>
        <x:v>TSK-09</x:v>
      </x:c>
      <x:c r="M19" s="22" t="str">
        <x:f>IF('Task List'!$B19="","",'Task List'!N19)</x:f>
        <x:v>No</x:v>
      </x:c>
      <x:c r="N19" s="21" t="str">
        <x:f>IF('Task List'!$B19="","",'Task List'!Q19)</x:f>
        <x:v>Not Started</x:v>
      </x:c>
      <x:c r="O19" s="30" t="str">
        <x:f>IF(OR($F19="",$G19=""),"",IF(AND($F19&lt;=O$9+6,$G19&gt;=O$9),IF($M19="Yes","◆","■"),""))</x:f>
      </x:c>
      <x:c r="P19" s="30" t="str">
        <x:f>IF(OR($F19="",$G19=""),"",IF(AND($F19&lt;=P$9+6,$G19&gt;=P$9),IF($M19="Yes","◆","■"),""))</x:f>
      </x:c>
      <x:c r="Q19" s="30" t="str">
        <x:f>IF(OR($F19="",$G19=""),"",IF(AND($F19&lt;=Q$9+6,$G19&gt;=Q$9),IF($M19="Yes","◆","■"),""))</x:f>
      </x:c>
      <x:c r="R19" s="30" t="str">
        <x:f>IF(OR($F19="",$G19=""),"",IF(AND($F19&lt;=R$9+6,$G19&gt;=R$9),IF($M19="Yes","◆","■"),""))</x:f>
      </x:c>
      <x:c r="S19" s="30" t="str">
        <x:f>IF(OR($F19="",$G19=""),"",IF(AND($F19&lt;=S$9+6,$G19&gt;=S$9),IF($M19="Yes","◆","■"),""))</x:f>
      </x:c>
      <x:c r="T19" s="30" t="str">
        <x:f>IF(OR($F19="",$G19=""),"",IF(AND($F19&lt;=T$9+6,$G19&gt;=T$9),IF($M19="Yes","◆","■"),""))</x:f>
      </x:c>
      <x:c r="U19" s="30" t="str">
        <x:f>IF(OR($F19="",$G19=""),"",IF(AND($F19&lt;=U$9+6,$G19&gt;=U$9),IF($M19="Yes","◆","■"),""))</x:f>
      </x:c>
      <x:c r="V19" s="30" t="str">
        <x:f>IF(OR($F19="",$G19=""),"",IF(AND($F19&lt;=V$9+6,$G19&gt;=V$9),IF($M19="Yes","◆","■"),""))</x:f>
        <x:v>■</x:v>
      </x:c>
      <x:c r="W19" s="30" t="str">
        <x:f>IF(OR($F19="",$G19=""),"",IF(AND($F19&lt;=W$9+6,$G19&gt;=W$9),IF($M19="Yes","◆","■"),""))</x:f>
        <x:v>■</x:v>
      </x:c>
      <x:c r="X19" s="30" t="str">
        <x:f>IF(OR($F19="",$G19=""),"",IF(AND($F19&lt;=X$9+6,$G19&gt;=X$9),IF($M19="Yes","◆","■"),""))</x:f>
        <x:v>■</x:v>
      </x:c>
      <x:c r="Y19" s="30" t="str">
        <x:f>IF(OR($F19="",$G19=""),"",IF(AND($F19&lt;=Y$9+6,$G19&gt;=Y$9),IF($M19="Yes","◆","■"),""))</x:f>
      </x:c>
      <x:c r="Z19" s="30" t="str">
        <x:f>IF(OR($F19="",$G19=""),"",IF(AND($F19&lt;=Z$9+6,$G19&gt;=Z$9),IF($M19="Yes","◆","■"),""))</x:f>
      </x:c>
      <x:c r="AA19" s="30" t="str">
        <x:f>IF(OR($F19="",$G19=""),"",IF(AND($F19&lt;=AA$9+6,$G19&gt;=AA$9),IF($M19="Yes","◆","■"),""))</x:f>
      </x:c>
      <x:c r="AB19" s="30" t="str">
        <x:f>IF(OR($F19="",$G19=""),"",IF(AND($F19&lt;=AB$9+6,$G19&gt;=AB$9),IF($M19="Yes","◆","■"),""))</x:f>
      </x:c>
      <x:c r="AC19" t="str">
        <x:f>IF(OR($F19="",$G19=""),"",IF(AND($F19&lt;=AC$9+6,$G19&gt;=AC$9),IF($M19="Yes","◆","■"),""))</x:f>
      </x:c>
      <x:c r="AD19" t="str">
        <x:f>IF(OR($F19="",$G19=""),"",IF(AND($F19&lt;=AD$9+6,$G19&gt;=AD$9),IF($M19="Yes","◆","■"),""))</x:f>
      </x:c>
      <x:c r="AE19" t="str">
        <x:f>IF(OR($F19="",$G19=""),"",IF(AND($F19&lt;=AE$9+6,$G19&gt;=AE$9),IF($M19="Yes","◆","■"),""))</x:f>
      </x:c>
      <x:c r="AF19" t="str">
        <x:f>IF(OR($F19="",$G19=""),"",IF(AND($F19&lt;=AF$9+6,$G19&gt;=AF$9),IF($M19="Yes","◆","■"),""))</x:f>
      </x:c>
      <x:c r="AG19" t="str">
        <x:f>IF(OR($F19="",$G19=""),"",IF(AND($F19&lt;=AG$9+6,$G19&gt;=AG$9),IF($M19="Yes","◆","■"),""))</x:f>
      </x:c>
      <x:c r="AH19" t="str">
        <x:f>IF(OR($F19="",$G19=""),"",IF(AND($F19&lt;=AH$9+6,$G19&gt;=AH$9),IF($M19="Yes","◆","■"),""))</x:f>
      </x:c>
    </x:row>
    <x:row r="20">
      <x:c r="B20" s="21" t="str">
        <x:f>IF('Task List'!$B20="","",'Task List'!B20)</x:f>
        <x:v>TSK-11</x:v>
      </x:c>
      <x:c r="C20" s="22" t="str">
        <x:f>IF('Task List'!$B20="","",'Task List'!C20)</x:f>
        <x:v>Build</x:v>
      </x:c>
      <x:c r="D20" s="23" t="str">
        <x:f>IF('Task List'!$B20="","",'Task List'!D20)</x:f>
        <x:v>Customer Account &amp; Profile Module</x:v>
      </x:c>
      <x:c r="E20" s="23" t="str">
        <x:f>IF('Task List'!$B20="","",'Task List'!F20)</x:f>
        <x:v>David Kim</x:v>
      </x:c>
      <x:c r="F20" s="24" t="n">
        <x:f>IF('Task List'!$B20="","",'Task List'!G20)</x:f>
        <x:v>46351</x:v>
      </x:c>
      <x:c r="G20" s="24" t="n">
        <x:f>IF('Task List'!$B20="","",'Task List'!H20)</x:f>
        <x:v>46370</x:v>
      </x:c>
      <x:c r="H20" s="26" t="n">
        <x:f>IF('Task List'!$B20="","",'Task List'!I20)</x:f>
        <x:v>20</x:v>
      </x:c>
      <x:c r="I20" s="22" t="str">
        <x:f>IF('Task List'!$B20="","",'Task List'!J20)</x:f>
        <x:v>Not Started</x:v>
      </x:c>
      <x:c r="J20" s="22" t="str">
        <x:f>IF('Task List'!$B20="","",'Task List'!K20)</x:f>
        <x:v>High</x:v>
      </x:c>
      <x:c r="K20" s="25" t="n">
        <x:f>IF('Task List'!$B20="","",'Task List'!L20)</x:f>
        <x:v>0</x:v>
      </x:c>
      <x:c r="L20" s="22" t="str">
        <x:f>IF('Task List'!$B20="","",'Task List'!M20)</x:f>
        <x:v>TSK-09</x:v>
      </x:c>
      <x:c r="M20" s="22" t="str">
        <x:f>IF('Task List'!$B20="","",'Task List'!N20)</x:f>
        <x:v>No</x:v>
      </x:c>
      <x:c r="N20" s="21" t="str">
        <x:f>IF('Task List'!$B20="","",'Task List'!Q20)</x:f>
        <x:v>Not Started</x:v>
      </x:c>
      <x:c r="O20" s="30" t="str">
        <x:f>IF(OR($F20="",$G20=""),"",IF(AND($F20&lt;=O$9+6,$G20&gt;=O$9),IF($M20="Yes","◆","■"),""))</x:f>
      </x:c>
      <x:c r="P20" s="30" t="str">
        <x:f>IF(OR($F20="",$G20=""),"",IF(AND($F20&lt;=P$9+6,$G20&gt;=P$9),IF($M20="Yes","◆","■"),""))</x:f>
      </x:c>
      <x:c r="Q20" s="30" t="str">
        <x:f>IF(OR($F20="",$G20=""),"",IF(AND($F20&lt;=Q$9+6,$G20&gt;=Q$9),IF($M20="Yes","◆","■"),""))</x:f>
      </x:c>
      <x:c r="R20" s="30" t="str">
        <x:f>IF(OR($F20="",$G20=""),"",IF(AND($F20&lt;=R$9+6,$G20&gt;=R$9),IF($M20="Yes","◆","■"),""))</x:f>
      </x:c>
      <x:c r="S20" s="30" t="str">
        <x:f>IF(OR($F20="",$G20=""),"",IF(AND($F20&lt;=S$9+6,$G20&gt;=S$9),IF($M20="Yes","◆","■"),""))</x:f>
      </x:c>
      <x:c r="T20" s="30" t="str">
        <x:f>IF(OR($F20="",$G20=""),"",IF(AND($F20&lt;=T$9+6,$G20&gt;=T$9),IF($M20="Yes","◆","■"),""))</x:f>
      </x:c>
      <x:c r="U20" s="30" t="str">
        <x:f>IF(OR($F20="",$G20=""),"",IF(AND($F20&lt;=U$9+6,$G20&gt;=U$9),IF($M20="Yes","◆","■"),""))</x:f>
      </x:c>
      <x:c r="V20" s="30" t="str">
        <x:f>IF(OR($F20="",$G20=""),"",IF(AND($F20&lt;=V$9+6,$G20&gt;=V$9),IF($M20="Yes","◆","■"),""))</x:f>
        <x:v>■</x:v>
      </x:c>
      <x:c r="W20" s="30" t="str">
        <x:f>IF(OR($F20="",$G20=""),"",IF(AND($F20&lt;=W$9+6,$G20&gt;=W$9),IF($M20="Yes","◆","■"),""))</x:f>
        <x:v>■</x:v>
      </x:c>
      <x:c r="X20" s="30" t="str">
        <x:f>IF(OR($F20="",$G20=""),"",IF(AND($F20&lt;=X$9+6,$G20&gt;=X$9),IF($M20="Yes","◆","■"),""))</x:f>
        <x:v>■</x:v>
      </x:c>
      <x:c r="Y20" s="30" t="str">
        <x:f>IF(OR($F20="",$G20=""),"",IF(AND($F20&lt;=Y$9+6,$G20&gt;=Y$9),IF($M20="Yes","◆","■"),""))</x:f>
        <x:v>■</x:v>
      </x:c>
      <x:c r="Z20" s="30" t="str">
        <x:f>IF(OR($F20="",$G20=""),"",IF(AND($F20&lt;=Z$9+6,$G20&gt;=Z$9),IF($M20="Yes","◆","■"),""))</x:f>
      </x:c>
      <x:c r="AA20" s="30" t="str">
        <x:f>IF(OR($F20="",$G20=""),"",IF(AND($F20&lt;=AA$9+6,$G20&gt;=AA$9),IF($M20="Yes","◆","■"),""))</x:f>
      </x:c>
      <x:c r="AB20" s="30" t="str">
        <x:f>IF(OR($F20="",$G20=""),"",IF(AND($F20&lt;=AB$9+6,$G20&gt;=AB$9),IF($M20="Yes","◆","■"),""))</x:f>
      </x:c>
      <x:c r="AC20" t="str">
        <x:f>IF(OR($F20="",$G20=""),"",IF(AND($F20&lt;=AC$9+6,$G20&gt;=AC$9),IF($M20="Yes","◆","■"),""))</x:f>
      </x:c>
      <x:c r="AD20" t="str">
        <x:f>IF(OR($F20="",$G20=""),"",IF(AND($F20&lt;=AD$9+6,$G20&gt;=AD$9),IF($M20="Yes","◆","■"),""))</x:f>
      </x:c>
      <x:c r="AE20" t="str">
        <x:f>IF(OR($F20="",$G20=""),"",IF(AND($F20&lt;=AE$9+6,$G20&gt;=AE$9),IF($M20="Yes","◆","■"),""))</x:f>
      </x:c>
      <x:c r="AF20" t="str">
        <x:f>IF(OR($F20="",$G20=""),"",IF(AND($F20&lt;=AF$9+6,$G20&gt;=AF$9),IF($M20="Yes","◆","■"),""))</x:f>
      </x:c>
      <x:c r="AG20" t="str">
        <x:f>IF(OR($F20="",$G20=""),"",IF(AND($F20&lt;=AG$9+6,$G20&gt;=AG$9),IF($M20="Yes","◆","■"),""))</x:f>
      </x:c>
      <x:c r="AH20" t="str">
        <x:f>IF(OR($F20="",$G20=""),"",IF(AND($F20&lt;=AH$9+6,$G20&gt;=AH$9),IF($M20="Yes","◆","■"),""))</x:f>
      </x:c>
    </x:row>
    <x:row r="21">
      <x:c r="B21" s="21" t="str">
        <x:f>IF('Task List'!$B21="","",'Task List'!B21)</x:f>
        <x:v>TSK-12</x:v>
      </x:c>
      <x:c r="C21" s="22" t="str">
        <x:f>IF('Task List'!$B21="","",'Task List'!C21)</x:f>
        <x:v>Build</x:v>
      </x:c>
      <x:c r="D21" s="23" t="str">
        <x:f>IF('Task List'!$B21="","",'Task List'!D21)</x:f>
        <x:v>Billing &amp; Payment Gateway API</x:v>
      </x:c>
      <x:c r="E21" s="23" t="str">
        <x:f>IF('Task List'!$B21="","",'Task List'!F21)</x:f>
        <x:v>David Kim</x:v>
      </x:c>
      <x:c r="F21" s="24" t="n">
        <x:f>IF('Task List'!$B21="","",'Task List'!G21)</x:f>
        <x:v>46357</x:v>
      </x:c>
      <x:c r="G21" s="24" t="n">
        <x:f>IF('Task List'!$B21="","",'Task List'!H21)</x:f>
        <x:v>46374</x:v>
      </x:c>
      <x:c r="H21" s="26" t="n">
        <x:f>IF('Task List'!$B21="","",'Task List'!I21)</x:f>
        <x:v>18</x:v>
      </x:c>
      <x:c r="I21" s="22" t="str">
        <x:f>IF('Task List'!$B21="","",'Task List'!J21)</x:f>
        <x:v>Blocked</x:v>
      </x:c>
      <x:c r="J21" s="22" t="str">
        <x:f>IF('Task List'!$B21="","",'Task List'!K21)</x:f>
        <x:v>Critical</x:v>
      </x:c>
      <x:c r="K21" s="25" t="n">
        <x:f>IF('Task List'!$B21="","",'Task List'!L21)</x:f>
        <x:v>0.15</x:v>
      </x:c>
      <x:c r="L21" s="22" t="str">
        <x:f>IF('Task List'!$B21="","",'Task List'!M21)</x:f>
        <x:v>TSK-10</x:v>
      </x:c>
      <x:c r="M21" s="22" t="str">
        <x:f>IF('Task List'!$B21="","",'Task List'!N21)</x:f>
        <x:v>No</x:v>
      </x:c>
      <x:c r="N21" s="21" t="str">
        <x:f>IF('Task List'!$B21="","",'Task List'!Q21)</x:f>
        <x:v>Blocked</x:v>
      </x:c>
      <x:c r="O21" s="30" t="str">
        <x:f>IF(OR($F21="",$G21=""),"",IF(AND($F21&lt;=O$9+6,$G21&gt;=O$9),IF($M21="Yes","◆","■"),""))</x:f>
      </x:c>
      <x:c r="P21" s="30" t="str">
        <x:f>IF(OR($F21="",$G21=""),"",IF(AND($F21&lt;=P$9+6,$G21&gt;=P$9),IF($M21="Yes","◆","■"),""))</x:f>
      </x:c>
      <x:c r="Q21" s="30" t="str">
        <x:f>IF(OR($F21="",$G21=""),"",IF(AND($F21&lt;=Q$9+6,$G21&gt;=Q$9),IF($M21="Yes","◆","■"),""))</x:f>
      </x:c>
      <x:c r="R21" s="30" t="str">
        <x:f>IF(OR($F21="",$G21=""),"",IF(AND($F21&lt;=R$9+6,$G21&gt;=R$9),IF($M21="Yes","◆","■"),""))</x:f>
      </x:c>
      <x:c r="S21" s="30" t="str">
        <x:f>IF(OR($F21="",$G21=""),"",IF(AND($F21&lt;=S$9+6,$G21&gt;=S$9),IF($M21="Yes","◆","■"),""))</x:f>
      </x:c>
      <x:c r="T21" s="30" t="str">
        <x:f>IF(OR($F21="",$G21=""),"",IF(AND($F21&lt;=T$9+6,$G21&gt;=T$9),IF($M21="Yes","◆","■"),""))</x:f>
      </x:c>
      <x:c r="U21" s="30" t="str">
        <x:f>IF(OR($F21="",$G21=""),"",IF(AND($F21&lt;=U$9+6,$G21&gt;=U$9),IF($M21="Yes","◆","■"),""))</x:f>
      </x:c>
      <x:c r="V21" s="30" t="str">
        <x:f>IF(OR($F21="",$G21=""),"",IF(AND($F21&lt;=V$9+6,$G21&gt;=V$9),IF($M21="Yes","◆","■"),""))</x:f>
      </x:c>
      <x:c r="W21" s="30" t="str">
        <x:f>IF(OR($F21="",$G21=""),"",IF(AND($F21&lt;=W$9+6,$G21&gt;=W$9),IF($M21="Yes","◆","■"),""))</x:f>
        <x:v>■</x:v>
      </x:c>
      <x:c r="X21" s="30" t="str">
        <x:f>IF(OR($F21="",$G21=""),"",IF(AND($F21&lt;=X$9+6,$G21&gt;=X$9),IF($M21="Yes","◆","■"),""))</x:f>
        <x:v>■</x:v>
      </x:c>
      <x:c r="Y21" s="30" t="str">
        <x:f>IF(OR($F21="",$G21=""),"",IF(AND($F21&lt;=Y$9+6,$G21&gt;=Y$9),IF($M21="Yes","◆","■"),""))</x:f>
        <x:v>■</x:v>
      </x:c>
      <x:c r="Z21" s="30" t="str">
        <x:f>IF(OR($F21="",$G21=""),"",IF(AND($F21&lt;=Z$9+6,$G21&gt;=Z$9),IF($M21="Yes","◆","■"),""))</x:f>
      </x:c>
      <x:c r="AA21" s="30" t="str">
        <x:f>IF(OR($F21="",$G21=""),"",IF(AND($F21&lt;=AA$9+6,$G21&gt;=AA$9),IF($M21="Yes","◆","■"),""))</x:f>
      </x:c>
      <x:c r="AB21" s="30" t="str">
        <x:f>IF(OR($F21="",$G21=""),"",IF(AND($F21&lt;=AB$9+6,$G21&gt;=AB$9),IF($M21="Yes","◆","■"),""))</x:f>
      </x:c>
      <x:c r="AC21" t="str">
        <x:f>IF(OR($F21="",$G21=""),"",IF(AND($F21&lt;=AC$9+6,$G21&gt;=AC$9),IF($M21="Yes","◆","■"),""))</x:f>
      </x:c>
      <x:c r="AD21" t="str">
        <x:f>IF(OR($F21="",$G21=""),"",IF(AND($F21&lt;=AD$9+6,$G21&gt;=AD$9),IF($M21="Yes","◆","■"),""))</x:f>
      </x:c>
      <x:c r="AE21" t="str">
        <x:f>IF(OR($F21="",$G21=""),"",IF(AND($F21&lt;=AE$9+6,$G21&gt;=AE$9),IF($M21="Yes","◆","■"),""))</x:f>
      </x:c>
      <x:c r="AF21" t="str">
        <x:f>IF(OR($F21="",$G21=""),"",IF(AND($F21&lt;=AF$9+6,$G21&gt;=AF$9),IF($M21="Yes","◆","■"),""))</x:f>
      </x:c>
      <x:c r="AG21" t="str">
        <x:f>IF(OR($F21="",$G21=""),"",IF(AND($F21&lt;=AG$9+6,$G21&gt;=AG$9),IF($M21="Yes","◆","■"),""))</x:f>
      </x:c>
      <x:c r="AH21" t="str">
        <x:f>IF(OR($F21="",$G21=""),"",IF(AND($F21&lt;=AH$9+6,$G21&gt;=AH$9),IF($M21="Yes","◆","■"),""))</x:f>
      </x:c>
    </x:row>
    <x:row r="22">
      <x:c r="B22" s="21" t="str">
        <x:f>IF('Task List'!$B22="","",'Task List'!B22)</x:f>
        <x:v>TSK-13</x:v>
      </x:c>
      <x:c r="C22" s="22" t="str">
        <x:f>IF('Task List'!$B22="","",'Task List'!C22)</x:f>
        <x:v>Build</x:v>
      </x:c>
      <x:c r="D22" s="23" t="str">
        <x:f>IF('Task List'!$B22="","",'Task List'!D22)</x:f>
        <x:v>Core Feature Integration Complete</x:v>
      </x:c>
      <x:c r="E22" s="23" t="str">
        <x:f>IF('Task List'!$B22="","",'Task List'!F22)</x:f>
        <x:v>Marcus Vance</x:v>
      </x:c>
      <x:c r="F22" s="24" t="n">
        <x:f>IF('Task List'!$B22="","",'Task List'!G22)</x:f>
        <x:v>46374</x:v>
      </x:c>
      <x:c r="G22" s="24" t="n">
        <x:f>IF('Task List'!$B22="","",'Task List'!H22)</x:f>
        <x:v>46374</x:v>
      </x:c>
      <x:c r="H22" s="26" t="n">
        <x:f>IF('Task List'!$B22="","",'Task List'!I22)</x:f>
        <x:v>1</x:v>
      </x:c>
      <x:c r="I22" s="22" t="str">
        <x:f>IF('Task List'!$B22="","",'Task List'!J22)</x:f>
        <x:v>Not Started</x:v>
      </x:c>
      <x:c r="J22" s="22" t="str">
        <x:f>IF('Task List'!$B22="","",'Task List'!K22)</x:f>
        <x:v>Critical</x:v>
      </x:c>
      <x:c r="K22" s="25" t="n">
        <x:f>IF('Task List'!$B22="","",'Task List'!L22)</x:f>
        <x:v>0</x:v>
      </x:c>
      <x:c r="L22" s="22" t="str">
        <x:f>IF('Task List'!$B22="","",'Task List'!M22)</x:f>
        <x:v>TSK-11</x:v>
      </x:c>
      <x:c r="M22" s="22" t="str">
        <x:f>IF('Task List'!$B22="","",'Task List'!N22)</x:f>
        <x:v>Yes</x:v>
      </x:c>
      <x:c r="N22" s="21" t="str">
        <x:f>IF('Task List'!$B22="","",'Task List'!Q22)</x:f>
        <x:v>Not Started</x:v>
      </x:c>
      <x:c r="O22" s="30" t="str">
        <x:f>IF(OR($F22="",$G22=""),"",IF(AND($F22&lt;=O$9+6,$G22&gt;=O$9),IF($M22="Yes","◆","■"),""))</x:f>
      </x:c>
      <x:c r="P22" s="30" t="str">
        <x:f>IF(OR($F22="",$G22=""),"",IF(AND($F22&lt;=P$9+6,$G22&gt;=P$9),IF($M22="Yes","◆","■"),""))</x:f>
      </x:c>
      <x:c r="Q22" s="30" t="str">
        <x:f>IF(OR($F22="",$G22=""),"",IF(AND($F22&lt;=Q$9+6,$G22&gt;=Q$9),IF($M22="Yes","◆","■"),""))</x:f>
      </x:c>
      <x:c r="R22" s="30" t="str">
        <x:f>IF(OR($F22="",$G22=""),"",IF(AND($F22&lt;=R$9+6,$G22&gt;=R$9),IF($M22="Yes","◆","■"),""))</x:f>
      </x:c>
      <x:c r="S22" s="30" t="str">
        <x:f>IF(OR($F22="",$G22=""),"",IF(AND($F22&lt;=S$9+6,$G22&gt;=S$9),IF($M22="Yes","◆","■"),""))</x:f>
      </x:c>
      <x:c r="T22" s="30" t="str">
        <x:f>IF(OR($F22="",$G22=""),"",IF(AND($F22&lt;=T$9+6,$G22&gt;=T$9),IF($M22="Yes","◆","■"),""))</x:f>
      </x:c>
      <x:c r="U22" s="30" t="str">
        <x:f>IF(OR($F22="",$G22=""),"",IF(AND($F22&lt;=U$9+6,$G22&gt;=U$9),IF($M22="Yes","◆","■"),""))</x:f>
      </x:c>
      <x:c r="V22" s="30" t="str">
        <x:f>IF(OR($F22="",$G22=""),"",IF(AND($F22&lt;=V$9+6,$G22&gt;=V$9),IF($M22="Yes","◆","■"),""))</x:f>
      </x:c>
      <x:c r="W22" s="30" t="str">
        <x:f>IF(OR($F22="",$G22=""),"",IF(AND($F22&lt;=W$9+6,$G22&gt;=W$9),IF($M22="Yes","◆","■"),""))</x:f>
      </x:c>
      <x:c r="X22" s="30" t="str">
        <x:f>IF(OR($F22="",$G22=""),"",IF(AND($F22&lt;=X$9+6,$G22&gt;=X$9),IF($M22="Yes","◆","■"),""))</x:f>
      </x:c>
      <x:c r="Y22" s="30" t="str">
        <x:f>IF(OR($F22="",$G22=""),"",IF(AND($F22&lt;=Y$9+6,$G22&gt;=Y$9),IF($M22="Yes","◆","■"),""))</x:f>
        <x:v>◆</x:v>
      </x:c>
      <x:c r="Z22" s="30" t="str">
        <x:f>IF(OR($F22="",$G22=""),"",IF(AND($F22&lt;=Z$9+6,$G22&gt;=Z$9),IF($M22="Yes","◆","■"),""))</x:f>
      </x:c>
      <x:c r="AA22" s="30" t="str">
        <x:f>IF(OR($F22="",$G22=""),"",IF(AND($F22&lt;=AA$9+6,$G22&gt;=AA$9),IF($M22="Yes","◆","■"),""))</x:f>
      </x:c>
      <x:c r="AB22" s="30" t="str">
        <x:f>IF(OR($F22="",$G22=""),"",IF(AND($F22&lt;=AB$9+6,$G22&gt;=AB$9),IF($M22="Yes","◆","■"),""))</x:f>
      </x:c>
      <x:c r="AC22" t="str">
        <x:f>IF(OR($F22="",$G22=""),"",IF(AND($F22&lt;=AC$9+6,$G22&gt;=AC$9),IF($M22="Yes","◆","■"),""))</x:f>
      </x:c>
      <x:c r="AD22" t="str">
        <x:f>IF(OR($F22="",$G22=""),"",IF(AND($F22&lt;=AD$9+6,$G22&gt;=AD$9),IF($M22="Yes","◆","■"),""))</x:f>
      </x:c>
      <x:c r="AE22" t="str">
        <x:f>IF(OR($F22="",$G22=""),"",IF(AND($F22&lt;=AE$9+6,$G22&gt;=AE$9),IF($M22="Yes","◆","■"),""))</x:f>
      </x:c>
      <x:c r="AF22" t="str">
        <x:f>IF(OR($F22="",$G22=""),"",IF(AND($F22&lt;=AF$9+6,$G22&gt;=AF$9),IF($M22="Yes","◆","■"),""))</x:f>
      </x:c>
      <x:c r="AG22" t="str">
        <x:f>IF(OR($F22="",$G22=""),"",IF(AND($F22&lt;=AG$9+6,$G22&gt;=AG$9),IF($M22="Yes","◆","■"),""))</x:f>
      </x:c>
      <x:c r="AH22" t="str">
        <x:f>IF(OR($F22="",$G22=""),"",IF(AND($F22&lt;=AH$9+6,$G22&gt;=AH$9),IF($M22="Yes","◆","■"),""))</x:f>
      </x:c>
    </x:row>
    <x:row r="23">
      <x:c r="B23" s="21" t="str">
        <x:f>IF('Task List'!$B23="","",'Task List'!B23)</x:f>
        <x:v>TSK-14</x:v>
      </x:c>
      <x:c r="C23" s="22" t="str">
        <x:f>IF('Task List'!$B23="","",'Task List'!C23)</x:f>
        <x:v>Testing</x:v>
      </x:c>
      <x:c r="D23" s="23" t="str">
        <x:f>IF('Task List'!$B23="","",'Task List'!D23)</x:f>
        <x:v>End-to-End Functional Test Suite</x:v>
      </x:c>
      <x:c r="E23" s="23" t="str">
        <x:f>IF('Task List'!$B23="","",'Task List'!F23)</x:f>
        <x:v>Elena Rostova</x:v>
      </x:c>
      <x:c r="F23" s="24" t="n">
        <x:f>IF('Task List'!$B23="","",'Task List'!G23)</x:f>
        <x:v>46377</x:v>
      </x:c>
      <x:c r="G23" s="24" t="n">
        <x:f>IF('Task List'!$B23="","",'Task List'!H23)</x:f>
        <x:v>46391</x:v>
      </x:c>
      <x:c r="H23" s="26" t="n">
        <x:f>IF('Task List'!$B23="","",'Task List'!I23)</x:f>
        <x:v>15</x:v>
      </x:c>
      <x:c r="I23" s="22" t="str">
        <x:f>IF('Task List'!$B23="","",'Task List'!J23)</x:f>
        <x:v>Not Started</x:v>
      </x:c>
      <x:c r="J23" s="22" t="str">
        <x:f>IF('Task List'!$B23="","",'Task List'!K23)</x:f>
        <x:v>High</x:v>
      </x:c>
      <x:c r="K23" s="25" t="n">
        <x:f>IF('Task List'!$B23="","",'Task List'!L23)</x:f>
        <x:v>0</x:v>
      </x:c>
      <x:c r="L23" s="22" t="str">
        <x:f>IF('Task List'!$B23="","",'Task List'!M23)</x:f>
        <x:v>TSK-13</x:v>
      </x:c>
      <x:c r="M23" s="22" t="str">
        <x:f>IF('Task List'!$B23="","",'Task List'!N23)</x:f>
        <x:v>No</x:v>
      </x:c>
      <x:c r="N23" s="21" t="str">
        <x:f>IF('Task List'!$B23="","",'Task List'!Q23)</x:f>
        <x:v>Not Started</x:v>
      </x:c>
      <x:c r="O23" s="30" t="str">
        <x:f>IF(OR($F23="",$G23=""),"",IF(AND($F23&lt;=O$9+6,$G23&gt;=O$9),IF($M23="Yes","◆","■"),""))</x:f>
      </x:c>
      <x:c r="P23" s="30" t="str">
        <x:f>IF(OR($F23="",$G23=""),"",IF(AND($F23&lt;=P$9+6,$G23&gt;=P$9),IF($M23="Yes","◆","■"),""))</x:f>
      </x:c>
      <x:c r="Q23" s="30" t="str">
        <x:f>IF(OR($F23="",$G23=""),"",IF(AND($F23&lt;=Q$9+6,$G23&gt;=Q$9),IF($M23="Yes","◆","■"),""))</x:f>
      </x:c>
      <x:c r="R23" s="30" t="str">
        <x:f>IF(OR($F23="",$G23=""),"",IF(AND($F23&lt;=R$9+6,$G23&gt;=R$9),IF($M23="Yes","◆","■"),""))</x:f>
      </x:c>
      <x:c r="S23" s="30" t="str">
        <x:f>IF(OR($F23="",$G23=""),"",IF(AND($F23&lt;=S$9+6,$G23&gt;=S$9),IF($M23="Yes","◆","■"),""))</x:f>
      </x:c>
      <x:c r="T23" s="30" t="str">
        <x:f>IF(OR($F23="",$G23=""),"",IF(AND($F23&lt;=T$9+6,$G23&gt;=T$9),IF($M23="Yes","◆","■"),""))</x:f>
      </x:c>
      <x:c r="U23" s="30" t="str">
        <x:f>IF(OR($F23="",$G23=""),"",IF(AND($F23&lt;=U$9+6,$G23&gt;=U$9),IF($M23="Yes","◆","■"),""))</x:f>
      </x:c>
      <x:c r="V23" s="30" t="str">
        <x:f>IF(OR($F23="",$G23=""),"",IF(AND($F23&lt;=V$9+6,$G23&gt;=V$9),IF($M23="Yes","◆","■"),""))</x:f>
      </x:c>
      <x:c r="W23" s="30" t="str">
        <x:f>IF(OR($F23="",$G23=""),"",IF(AND($F23&lt;=W$9+6,$G23&gt;=W$9),IF($M23="Yes","◆","■"),""))</x:f>
      </x:c>
      <x:c r="X23" s="30" t="str">
        <x:f>IF(OR($F23="",$G23=""),"",IF(AND($F23&lt;=X$9+6,$G23&gt;=X$9),IF($M23="Yes","◆","■"),""))</x:f>
      </x:c>
      <x:c r="Y23" s="30" t="str">
        <x:f>IF(OR($F23="",$G23=""),"",IF(AND($F23&lt;=Y$9+6,$G23&gt;=Y$9),IF($M23="Yes","◆","■"),""))</x:f>
      </x:c>
      <x:c r="Z23" s="30" t="str">
        <x:f>IF(OR($F23="",$G23=""),"",IF(AND($F23&lt;=Z$9+6,$G23&gt;=Z$9),IF($M23="Yes","◆","■"),""))</x:f>
        <x:v>■</x:v>
      </x:c>
      <x:c r="AA23" s="30" t="str">
        <x:f>IF(OR($F23="",$G23=""),"",IF(AND($F23&lt;=AA$9+6,$G23&gt;=AA$9),IF($M23="Yes","◆","■"),""))</x:f>
        <x:v>■</x:v>
      </x:c>
      <x:c r="AB23" s="30" t="str">
        <x:f>IF(OR($F23="",$G23=""),"",IF(AND($F23&lt;=AB$9+6,$G23&gt;=AB$9),IF($M23="Yes","◆","■"),""))</x:f>
        <x:v>■</x:v>
      </x:c>
      <x:c r="AC23" t="str">
        <x:f>IF(OR($F23="",$G23=""),"",IF(AND($F23&lt;=AC$9+6,$G23&gt;=AC$9),IF($M23="Yes","◆","■"),""))</x:f>
      </x:c>
      <x:c r="AD23" t="str">
        <x:f>IF(OR($F23="",$G23=""),"",IF(AND($F23&lt;=AD$9+6,$G23&gt;=AD$9),IF($M23="Yes","◆","■"),""))</x:f>
      </x:c>
      <x:c r="AE23" t="str">
        <x:f>IF(OR($F23="",$G23=""),"",IF(AND($F23&lt;=AE$9+6,$G23&gt;=AE$9),IF($M23="Yes","◆","■"),""))</x:f>
      </x:c>
      <x:c r="AF23" t="str">
        <x:f>IF(OR($F23="",$G23=""),"",IF(AND($F23&lt;=AF$9+6,$G23&gt;=AF$9),IF($M23="Yes","◆","■"),""))</x:f>
      </x:c>
      <x:c r="AG23" t="str">
        <x:f>IF(OR($F23="",$G23=""),"",IF(AND($F23&lt;=AG$9+6,$G23&gt;=AG$9),IF($M23="Yes","◆","■"),""))</x:f>
      </x:c>
      <x:c r="AH23" t="str">
        <x:f>IF(OR($F23="",$G23=""),"",IF(AND($F23&lt;=AH$9+6,$G23&gt;=AH$9),IF($M23="Yes","◆","■"),""))</x:f>
      </x:c>
    </x:row>
    <x:row r="24">
      <x:c r="B24" s="21" t="str">
        <x:f>IF('Task List'!$B24="","",'Task List'!B24)</x:f>
        <x:v>TSK-15</x:v>
      </x:c>
      <x:c r="C24" s="22" t="str">
        <x:f>IF('Task List'!$B24="","",'Task List'!C24)</x:f>
        <x:v>Testing</x:v>
      </x:c>
      <x:c r="D24" s="23" t="str">
        <x:f>IF('Task List'!$B24="","",'Task List'!D24)</x:f>
        <x:v>Security Audit &amp; Vulnerability Assessment</x:v>
      </x:c>
      <x:c r="E24" s="23" t="str">
        <x:f>IF('Task List'!$B24="","",'Task List'!F24)</x:f>
        <x:v>Marcus Vance</x:v>
      </x:c>
      <x:c r="F24" s="24" t="n">
        <x:f>IF('Task List'!$B24="","",'Task List'!G24)</x:f>
        <x:v>46384</x:v>
      </x:c>
      <x:c r="G24" s="24" t="n">
        <x:f>IF('Task List'!$B24="","",'Task List'!H24)</x:f>
        <x:v>46393</x:v>
      </x:c>
      <x:c r="H24" s="26" t="n">
        <x:f>IF('Task List'!$B24="","",'Task List'!I24)</x:f>
        <x:v>10</x:v>
      </x:c>
      <x:c r="I24" s="22" t="str">
        <x:f>IF('Task List'!$B24="","",'Task List'!J24)</x:f>
        <x:v>Not Started</x:v>
      </x:c>
      <x:c r="J24" s="22" t="str">
        <x:f>IF('Task List'!$B24="","",'Task List'!K24)</x:f>
        <x:v>Critical</x:v>
      </x:c>
      <x:c r="K24" s="25" t="n">
        <x:f>IF('Task List'!$B24="","",'Task List'!L24)</x:f>
        <x:v>0</x:v>
      </x:c>
      <x:c r="L24" s="22" t="str">
        <x:f>IF('Task List'!$B24="","",'Task List'!M24)</x:f>
        <x:v>TSK-14</x:v>
      </x:c>
      <x:c r="M24" s="22" t="str">
        <x:f>IF('Task List'!$B24="","",'Task List'!N24)</x:f>
        <x:v>No</x:v>
      </x:c>
      <x:c r="N24" s="21" t="str">
        <x:f>IF('Task List'!$B24="","",'Task List'!Q24)</x:f>
        <x:v>Not Started</x:v>
      </x:c>
      <x:c r="O24" s="30" t="str">
        <x:f>IF(OR($F24="",$G24=""),"",IF(AND($F24&lt;=O$9+6,$G24&gt;=O$9),IF($M24="Yes","◆","■"),""))</x:f>
      </x:c>
      <x:c r="P24" s="30" t="str">
        <x:f>IF(OR($F24="",$G24=""),"",IF(AND($F24&lt;=P$9+6,$G24&gt;=P$9),IF($M24="Yes","◆","■"),""))</x:f>
      </x:c>
      <x:c r="Q24" s="30" t="str">
        <x:f>IF(OR($F24="",$G24=""),"",IF(AND($F24&lt;=Q$9+6,$G24&gt;=Q$9),IF($M24="Yes","◆","■"),""))</x:f>
      </x:c>
      <x:c r="R24" s="30" t="str">
        <x:f>IF(OR($F24="",$G24=""),"",IF(AND($F24&lt;=R$9+6,$G24&gt;=R$9),IF($M24="Yes","◆","■"),""))</x:f>
      </x:c>
      <x:c r="S24" s="30" t="str">
        <x:f>IF(OR($F24="",$G24=""),"",IF(AND($F24&lt;=S$9+6,$G24&gt;=S$9),IF($M24="Yes","◆","■"),""))</x:f>
      </x:c>
      <x:c r="T24" s="30" t="str">
        <x:f>IF(OR($F24="",$G24=""),"",IF(AND($F24&lt;=T$9+6,$G24&gt;=T$9),IF($M24="Yes","◆","■"),""))</x:f>
      </x:c>
      <x:c r="U24" s="30" t="str">
        <x:f>IF(OR($F24="",$G24=""),"",IF(AND($F24&lt;=U$9+6,$G24&gt;=U$9),IF($M24="Yes","◆","■"),""))</x:f>
      </x:c>
      <x:c r="V24" s="30" t="str">
        <x:f>IF(OR($F24="",$G24=""),"",IF(AND($F24&lt;=V$9+6,$G24&gt;=V$9),IF($M24="Yes","◆","■"),""))</x:f>
      </x:c>
      <x:c r="W24" s="30" t="str">
        <x:f>IF(OR($F24="",$G24=""),"",IF(AND($F24&lt;=W$9+6,$G24&gt;=W$9),IF($M24="Yes","◆","■"),""))</x:f>
      </x:c>
      <x:c r="X24" s="30" t="str">
        <x:f>IF(OR($F24="",$G24=""),"",IF(AND($F24&lt;=X$9+6,$G24&gt;=X$9),IF($M24="Yes","◆","■"),""))</x:f>
      </x:c>
      <x:c r="Y24" s="30" t="str">
        <x:f>IF(OR($F24="",$G24=""),"",IF(AND($F24&lt;=Y$9+6,$G24&gt;=Y$9),IF($M24="Yes","◆","■"),""))</x:f>
      </x:c>
      <x:c r="Z24" s="30" t="str">
        <x:f>IF(OR($F24="",$G24=""),"",IF(AND($F24&lt;=Z$9+6,$G24&gt;=Z$9),IF($M24="Yes","◆","■"),""))</x:f>
      </x:c>
      <x:c r="AA24" s="30" t="str">
        <x:f>IF(OR($F24="",$G24=""),"",IF(AND($F24&lt;=AA$9+6,$G24&gt;=AA$9),IF($M24="Yes","◆","■"),""))</x:f>
        <x:v>■</x:v>
      </x:c>
      <x:c r="AB24" s="30" t="str">
        <x:f>IF(OR($F24="",$G24=""),"",IF(AND($F24&lt;=AB$9+6,$G24&gt;=AB$9),IF($M24="Yes","◆","■"),""))</x:f>
        <x:v>■</x:v>
      </x:c>
      <x:c r="AC24" t="str">
        <x:f>IF(OR($F24="",$G24=""),"",IF(AND($F24&lt;=AC$9+6,$G24&gt;=AC$9),IF($M24="Yes","◆","■"),""))</x:f>
      </x:c>
      <x:c r="AD24" t="str">
        <x:f>IF(OR($F24="",$G24=""),"",IF(AND($F24&lt;=AD$9+6,$G24&gt;=AD$9),IF($M24="Yes","◆","■"),""))</x:f>
      </x:c>
      <x:c r="AE24" t="str">
        <x:f>IF(OR($F24="",$G24=""),"",IF(AND($F24&lt;=AE$9+6,$G24&gt;=AE$9),IF($M24="Yes","◆","■"),""))</x:f>
      </x:c>
      <x:c r="AF24" t="str">
        <x:f>IF(OR($F24="",$G24=""),"",IF(AND($F24&lt;=AF$9+6,$G24&gt;=AF$9),IF($M24="Yes","◆","■"),""))</x:f>
      </x:c>
      <x:c r="AG24" t="str">
        <x:f>IF(OR($F24="",$G24=""),"",IF(AND($F24&lt;=AG$9+6,$G24&gt;=AG$9),IF($M24="Yes","◆","■"),""))</x:f>
      </x:c>
      <x:c r="AH24" t="str">
        <x:f>IF(OR($F24="",$G24=""),"",IF(AND($F24&lt;=AH$9+6,$G24&gt;=AH$9),IF($M24="Yes","◆","■"),""))</x:f>
      </x:c>
    </x:row>
    <x:row r="25">
      <x:c r="B25" s="21" t="str">
        <x:f>IF('Task List'!$B25="","",'Task List'!B25)</x:f>
        <x:v>TSK-16</x:v>
      </x:c>
      <x:c r="C25" s="22" t="str">
        <x:f>IF('Task List'!$B25="","",'Task List'!C25)</x:f>
        <x:v>Testing</x:v>
      </x:c>
      <x:c r="D25" s="23" t="str">
        <x:f>IF('Task List'!$B25="","",'Task List'!D25)</x:f>
        <x:v>UAT &amp; Beta User Sign-Off</x:v>
      </x:c>
      <x:c r="E25" s="23" t="str">
        <x:f>IF('Task List'!$B25="","",'Task List'!F25)</x:f>
        <x:v>Alex Morgan</x:v>
      </x:c>
      <x:c r="F25" s="24" t="n">
        <x:f>IF('Task List'!$B25="","",'Task List'!G25)</x:f>
        <x:v>46393</x:v>
      </x:c>
      <x:c r="G25" s="24" t="n">
        <x:f>IF('Task List'!$B25="","",'Task List'!H25)</x:f>
        <x:v>46393</x:v>
      </x:c>
      <x:c r="H25" s="26" t="n">
        <x:f>IF('Task List'!$B25="","",'Task List'!I25)</x:f>
        <x:v>1</x:v>
      </x:c>
      <x:c r="I25" s="22" t="str">
        <x:f>IF('Task List'!$B25="","",'Task List'!J25)</x:f>
        <x:v>Not Started</x:v>
      </x:c>
      <x:c r="J25" s="22" t="str">
        <x:f>IF('Task List'!$B25="","",'Task List'!K25)</x:f>
        <x:v>Critical</x:v>
      </x:c>
      <x:c r="K25" s="25" t="n">
        <x:f>IF('Task List'!$B25="","",'Task List'!L25)</x:f>
        <x:v>0</x:v>
      </x:c>
      <x:c r="L25" s="22" t="str">
        <x:f>IF('Task List'!$B25="","",'Task List'!M25)</x:f>
        <x:v>TSK-15</x:v>
      </x:c>
      <x:c r="M25" s="22" t="str">
        <x:f>IF('Task List'!$B25="","",'Task List'!N25)</x:f>
        <x:v>Yes</x:v>
      </x:c>
      <x:c r="N25" s="21" t="str">
        <x:f>IF('Task List'!$B25="","",'Task List'!Q25)</x:f>
        <x:v>Not Started</x:v>
      </x:c>
      <x:c r="O25" s="30" t="str">
        <x:f>IF(OR($F25="",$G25=""),"",IF(AND($F25&lt;=O$9+6,$G25&gt;=O$9),IF($M25="Yes","◆","■"),""))</x:f>
      </x:c>
      <x:c r="P25" s="30" t="str">
        <x:f>IF(OR($F25="",$G25=""),"",IF(AND($F25&lt;=P$9+6,$G25&gt;=P$9),IF($M25="Yes","◆","■"),""))</x:f>
      </x:c>
      <x:c r="Q25" s="30" t="str">
        <x:f>IF(OR($F25="",$G25=""),"",IF(AND($F25&lt;=Q$9+6,$G25&gt;=Q$9),IF($M25="Yes","◆","■"),""))</x:f>
      </x:c>
      <x:c r="R25" s="30" t="str">
        <x:f>IF(OR($F25="",$G25=""),"",IF(AND($F25&lt;=R$9+6,$G25&gt;=R$9),IF($M25="Yes","◆","■"),""))</x:f>
      </x:c>
      <x:c r="S25" s="30" t="str">
        <x:f>IF(OR($F25="",$G25=""),"",IF(AND($F25&lt;=S$9+6,$G25&gt;=S$9),IF($M25="Yes","◆","■"),""))</x:f>
      </x:c>
      <x:c r="T25" s="30" t="str">
        <x:f>IF(OR($F25="",$G25=""),"",IF(AND($F25&lt;=T$9+6,$G25&gt;=T$9),IF($M25="Yes","◆","■"),""))</x:f>
      </x:c>
      <x:c r="U25" s="30" t="str">
        <x:f>IF(OR($F25="",$G25=""),"",IF(AND($F25&lt;=U$9+6,$G25&gt;=U$9),IF($M25="Yes","◆","■"),""))</x:f>
      </x:c>
      <x:c r="V25" s="30" t="str">
        <x:f>IF(OR($F25="",$G25=""),"",IF(AND($F25&lt;=V$9+6,$G25&gt;=V$9),IF($M25="Yes","◆","■"),""))</x:f>
      </x:c>
      <x:c r="W25" s="30" t="str">
        <x:f>IF(OR($F25="",$G25=""),"",IF(AND($F25&lt;=W$9+6,$G25&gt;=W$9),IF($M25="Yes","◆","■"),""))</x:f>
      </x:c>
      <x:c r="X25" s="30" t="str">
        <x:f>IF(OR($F25="",$G25=""),"",IF(AND($F25&lt;=X$9+6,$G25&gt;=X$9),IF($M25="Yes","◆","■"),""))</x:f>
      </x:c>
      <x:c r="Y25" s="30" t="str">
        <x:f>IF(OR($F25="",$G25=""),"",IF(AND($F25&lt;=Y$9+6,$G25&gt;=Y$9),IF($M25="Yes","◆","■"),""))</x:f>
      </x:c>
      <x:c r="Z25" s="30" t="str">
        <x:f>IF(OR($F25="",$G25=""),"",IF(AND($F25&lt;=Z$9+6,$G25&gt;=Z$9),IF($M25="Yes","◆","■"),""))</x:f>
      </x:c>
      <x:c r="AA25" s="30" t="str">
        <x:f>IF(OR($F25="",$G25=""),"",IF(AND($F25&lt;=AA$9+6,$G25&gt;=AA$9),IF($M25="Yes","◆","■"),""))</x:f>
      </x:c>
      <x:c r="AB25" s="30" t="str">
        <x:f>IF(OR($F25="",$G25=""),"",IF(AND($F25&lt;=AB$9+6,$G25&gt;=AB$9),IF($M25="Yes","◆","■"),""))</x:f>
        <x:v>◆</x:v>
      </x:c>
      <x:c r="AC25" t="str">
        <x:f>IF(OR($F25="",$G25=""),"",IF(AND($F25&lt;=AC$9+6,$G25&gt;=AC$9),IF($M25="Yes","◆","■"),""))</x:f>
      </x:c>
      <x:c r="AD25" t="str">
        <x:f>IF(OR($F25="",$G25=""),"",IF(AND($F25&lt;=AD$9+6,$G25&gt;=AD$9),IF($M25="Yes","◆","■"),""))</x:f>
      </x:c>
      <x:c r="AE25" t="str">
        <x:f>IF(OR($F25="",$G25=""),"",IF(AND($F25&lt;=AE$9+6,$G25&gt;=AE$9),IF($M25="Yes","◆","■"),""))</x:f>
      </x:c>
      <x:c r="AF25" t="str">
        <x:f>IF(OR($F25="",$G25=""),"",IF(AND($F25&lt;=AF$9+6,$G25&gt;=AF$9),IF($M25="Yes","◆","■"),""))</x:f>
      </x:c>
      <x:c r="AG25" t="str">
        <x:f>IF(OR($F25="",$G25=""),"",IF(AND($F25&lt;=AG$9+6,$G25&gt;=AG$9),IF($M25="Yes","◆","■"),""))</x:f>
      </x:c>
      <x:c r="AH25" t="str">
        <x:f>IF(OR($F25="",$G25=""),"",IF(AND($F25&lt;=AH$9+6,$G25&gt;=AH$9),IF($M25="Yes","◆","■"),""))</x:f>
      </x:c>
    </x:row>
    <x:row r="26">
      <x:c r="B26" s="21" t="str">
        <x:f>IF('Task List'!$B26="","",'Task List'!B26)</x:f>
        <x:v>TSK-17</x:v>
      </x:c>
      <x:c r="C26" s="22" t="str">
        <x:f>IF('Task List'!$B26="","",'Task List'!C26)</x:f>
        <x:v>Launch</x:v>
      </x:c>
      <x:c r="D26" s="23" t="str">
        <x:f>IF('Task List'!$B26="","",'Task List'!D26)</x:f>
        <x:v>Customer Support &amp; Staff Training</x:v>
      </x:c>
      <x:c r="E26" s="23" t="str">
        <x:f>IF('Task List'!$B26="","",'Task List'!F26)</x:f>
        <x:v>Sarah Chen</x:v>
      </x:c>
      <x:c r="F26" s="24" t="n">
        <x:f>IF('Task List'!$B26="","",'Task List'!G26)</x:f>
        <x:v>46394</x:v>
      </x:c>
      <x:c r="G26" s="24" t="n">
        <x:f>IF('Task List'!$B26="","",'Task List'!H26)</x:f>
        <x:v>46400</x:v>
      </x:c>
      <x:c r="H26" s="26" t="n">
        <x:f>IF('Task List'!$B26="","",'Task List'!I26)</x:f>
        <x:v>7</x:v>
      </x:c>
      <x:c r="I26" s="22" t="str">
        <x:f>IF('Task List'!$B26="","",'Task List'!J26)</x:f>
        <x:v>Not Started</x:v>
      </x:c>
      <x:c r="J26" s="22" t="str">
        <x:f>IF('Task List'!$B26="","",'Task List'!K26)</x:f>
        <x:v>Medium</x:v>
      </x:c>
      <x:c r="K26" s="25" t="n">
        <x:f>IF('Task List'!$B26="","",'Task List'!L26)</x:f>
        <x:v>0</x:v>
      </x:c>
      <x:c r="L26" s="22" t="str">
        <x:f>IF('Task List'!$B26="","",'Task List'!M26)</x:f>
        <x:v>TSK-16</x:v>
      </x:c>
      <x:c r="M26" s="22" t="str">
        <x:f>IF('Task List'!$B26="","",'Task List'!N26)</x:f>
        <x:v>No</x:v>
      </x:c>
      <x:c r="N26" s="21" t="str">
        <x:f>IF('Task List'!$B26="","",'Task List'!Q26)</x:f>
        <x:v>Not Started</x:v>
      </x:c>
      <x:c r="O26" s="30" t="str">
        <x:f>IF(OR($F26="",$G26=""),"",IF(AND($F26&lt;=O$9+6,$G26&gt;=O$9),IF($M26="Yes","◆","■"),""))</x:f>
      </x:c>
      <x:c r="P26" s="30" t="str">
        <x:f>IF(OR($F26="",$G26=""),"",IF(AND($F26&lt;=P$9+6,$G26&gt;=P$9),IF($M26="Yes","◆","■"),""))</x:f>
      </x:c>
      <x:c r="Q26" s="30" t="str">
        <x:f>IF(OR($F26="",$G26=""),"",IF(AND($F26&lt;=Q$9+6,$G26&gt;=Q$9),IF($M26="Yes","◆","■"),""))</x:f>
      </x:c>
      <x:c r="R26" s="30" t="str">
        <x:f>IF(OR($F26="",$G26=""),"",IF(AND($F26&lt;=R$9+6,$G26&gt;=R$9),IF($M26="Yes","◆","■"),""))</x:f>
      </x:c>
      <x:c r="S26" s="30" t="str">
        <x:f>IF(OR($F26="",$G26=""),"",IF(AND($F26&lt;=S$9+6,$G26&gt;=S$9),IF($M26="Yes","◆","■"),""))</x:f>
      </x:c>
      <x:c r="T26" s="30" t="str">
        <x:f>IF(OR($F26="",$G26=""),"",IF(AND($F26&lt;=T$9+6,$G26&gt;=T$9),IF($M26="Yes","◆","■"),""))</x:f>
      </x:c>
      <x:c r="U26" s="30" t="str">
        <x:f>IF(OR($F26="",$G26=""),"",IF(AND($F26&lt;=U$9+6,$G26&gt;=U$9),IF($M26="Yes","◆","■"),""))</x:f>
      </x:c>
      <x:c r="V26" s="30" t="str">
        <x:f>IF(OR($F26="",$G26=""),"",IF(AND($F26&lt;=V$9+6,$G26&gt;=V$9),IF($M26="Yes","◆","■"),""))</x:f>
      </x:c>
      <x:c r="W26" s="30" t="str">
        <x:f>IF(OR($F26="",$G26=""),"",IF(AND($F26&lt;=W$9+6,$G26&gt;=W$9),IF($M26="Yes","◆","■"),""))</x:f>
      </x:c>
      <x:c r="X26" s="30" t="str">
        <x:f>IF(OR($F26="",$G26=""),"",IF(AND($F26&lt;=X$9+6,$G26&gt;=X$9),IF($M26="Yes","◆","■"),""))</x:f>
      </x:c>
      <x:c r="Y26" s="30" t="str">
        <x:f>IF(OR($F26="",$G26=""),"",IF(AND($F26&lt;=Y$9+6,$G26&gt;=Y$9),IF($M26="Yes","◆","■"),""))</x:f>
      </x:c>
      <x:c r="Z26" s="30" t="str">
        <x:f>IF(OR($F26="",$G26=""),"",IF(AND($F26&lt;=Z$9+6,$G26&gt;=Z$9),IF($M26="Yes","◆","■"),""))</x:f>
      </x:c>
      <x:c r="AA26" s="30" t="str">
        <x:f>IF(OR($F26="",$G26=""),"",IF(AND($F26&lt;=AA$9+6,$G26&gt;=AA$9),IF($M26="Yes","◆","■"),""))</x:f>
      </x:c>
      <x:c r="AB26" s="30" t="str">
        <x:f>IF(OR($F26="",$G26=""),"",IF(AND($F26&lt;=AB$9+6,$G26&gt;=AB$9),IF($M26="Yes","◆","■"),""))</x:f>
        <x:v>■</x:v>
      </x:c>
      <x:c r="AC26" t="str">
        <x:f>IF(OR($F26="",$G26=""),"",IF(AND($F26&lt;=AC$9+6,$G26&gt;=AC$9),IF($M26="Yes","◆","■"),""))</x:f>
        <x:v>■</x:v>
      </x:c>
      <x:c r="AD26" t="str">
        <x:f>IF(OR($F26="",$G26=""),"",IF(AND($F26&lt;=AD$9+6,$G26&gt;=AD$9),IF($M26="Yes","◆","■"),""))</x:f>
      </x:c>
      <x:c r="AE26" t="str">
        <x:f>IF(OR($F26="",$G26=""),"",IF(AND($F26&lt;=AE$9+6,$G26&gt;=AE$9),IF($M26="Yes","◆","■"),""))</x:f>
      </x:c>
      <x:c r="AF26" t="str">
        <x:f>IF(OR($F26="",$G26=""),"",IF(AND($F26&lt;=AF$9+6,$G26&gt;=AF$9),IF($M26="Yes","◆","■"),""))</x:f>
      </x:c>
      <x:c r="AG26" t="str">
        <x:f>IF(OR($F26="",$G26=""),"",IF(AND($F26&lt;=AG$9+6,$G26&gt;=AG$9),IF($M26="Yes","◆","■"),""))</x:f>
      </x:c>
      <x:c r="AH26" t="str">
        <x:f>IF(OR($F26="",$G26=""),"",IF(AND($F26&lt;=AH$9+6,$G26&gt;=AH$9),IF($M26="Yes","◆","■"),""))</x:f>
      </x:c>
    </x:row>
    <x:row r="27">
      <x:c r="B27" s="21" t="str">
        <x:f>IF('Task List'!$B27="","",'Task List'!B27)</x:f>
        <x:v>TSK-18</x:v>
      </x:c>
      <x:c r="C27" s="22" t="str">
        <x:f>IF('Task List'!$B27="","",'Task List'!C27)</x:f>
        <x:v>Launch</x:v>
      </x:c>
      <x:c r="D27" s="23" t="str">
        <x:f>IF('Task List'!$B27="","",'Task List'!D27)</x:f>
        <x:v>Production Deployment &amp; Go-Live</x:v>
      </x:c>
      <x:c r="E27" s="23" t="str">
        <x:f>IF('Task List'!$B27="","",'Task List'!F27)</x:f>
        <x:v>Alex Morgan</x:v>
      </x:c>
      <x:c r="F27" s="24" t="n">
        <x:f>IF('Task List'!$B27="","",'Task List'!G27)</x:f>
        <x:v>46402</x:v>
      </x:c>
      <x:c r="G27" s="24" t="n">
        <x:f>IF('Task List'!$B27="","",'Task List'!H27)</x:f>
        <x:v>46402</x:v>
      </x:c>
      <x:c r="H27" s="26" t="n">
        <x:f>IF('Task List'!$B27="","",'Task List'!I27)</x:f>
        <x:v>1</x:v>
      </x:c>
      <x:c r="I27" s="22" t="str">
        <x:f>IF('Task List'!$B27="","",'Task List'!J27)</x:f>
        <x:v>Not Started</x:v>
      </x:c>
      <x:c r="J27" s="22" t="str">
        <x:f>IF('Task List'!$B27="","",'Task List'!K27)</x:f>
        <x:v>Critical</x:v>
      </x:c>
      <x:c r="K27" s="25" t="n">
        <x:f>IF('Task List'!$B27="","",'Task List'!L27)</x:f>
        <x:v>0</x:v>
      </x:c>
      <x:c r="L27" s="22" t="str">
        <x:f>IF('Task List'!$B27="","",'Task List'!M27)</x:f>
        <x:v>TSK-17</x:v>
      </x:c>
      <x:c r="M27" s="22" t="str">
        <x:f>IF('Task List'!$B27="","",'Task List'!N27)</x:f>
        <x:v>Yes</x:v>
      </x:c>
      <x:c r="N27" s="21" t="str">
        <x:f>IF('Task List'!$B27="","",'Task List'!Q27)</x:f>
        <x:v>Not Started</x:v>
      </x:c>
      <x:c r="O27" s="30" t="str">
        <x:f>IF(OR($F27="",$G27=""),"",IF(AND($F27&lt;=O$9+6,$G27&gt;=O$9),IF($M27="Yes","◆","■"),""))</x:f>
      </x:c>
      <x:c r="P27" s="30" t="str">
        <x:f>IF(OR($F27="",$G27=""),"",IF(AND($F27&lt;=P$9+6,$G27&gt;=P$9),IF($M27="Yes","◆","■"),""))</x:f>
      </x:c>
      <x:c r="Q27" s="30" t="str">
        <x:f>IF(OR($F27="",$G27=""),"",IF(AND($F27&lt;=Q$9+6,$G27&gt;=Q$9),IF($M27="Yes","◆","■"),""))</x:f>
      </x:c>
      <x:c r="R27" s="30" t="str">
        <x:f>IF(OR($F27="",$G27=""),"",IF(AND($F27&lt;=R$9+6,$G27&gt;=R$9),IF($M27="Yes","◆","■"),""))</x:f>
      </x:c>
      <x:c r="S27" s="30" t="str">
        <x:f>IF(OR($F27="",$G27=""),"",IF(AND($F27&lt;=S$9+6,$G27&gt;=S$9),IF($M27="Yes","◆","■"),""))</x:f>
      </x:c>
      <x:c r="T27" s="30" t="str">
        <x:f>IF(OR($F27="",$G27=""),"",IF(AND($F27&lt;=T$9+6,$G27&gt;=T$9),IF($M27="Yes","◆","■"),""))</x:f>
      </x:c>
      <x:c r="U27" s="30" t="str">
        <x:f>IF(OR($F27="",$G27=""),"",IF(AND($F27&lt;=U$9+6,$G27&gt;=U$9),IF($M27="Yes","◆","■"),""))</x:f>
      </x:c>
      <x:c r="V27" s="30" t="str">
        <x:f>IF(OR($F27="",$G27=""),"",IF(AND($F27&lt;=V$9+6,$G27&gt;=V$9),IF($M27="Yes","◆","■"),""))</x:f>
      </x:c>
      <x:c r="W27" s="30" t="str">
        <x:f>IF(OR($F27="",$G27=""),"",IF(AND($F27&lt;=W$9+6,$G27&gt;=W$9),IF($M27="Yes","◆","■"),""))</x:f>
      </x:c>
      <x:c r="X27" s="30" t="str">
        <x:f>IF(OR($F27="",$G27=""),"",IF(AND($F27&lt;=X$9+6,$G27&gt;=X$9),IF($M27="Yes","◆","■"),""))</x:f>
      </x:c>
      <x:c r="Y27" s="30" t="str">
        <x:f>IF(OR($F27="",$G27=""),"",IF(AND($F27&lt;=Y$9+6,$G27&gt;=Y$9),IF($M27="Yes","◆","■"),""))</x:f>
      </x:c>
      <x:c r="Z27" s="30" t="str">
        <x:f>IF(OR($F27="",$G27=""),"",IF(AND($F27&lt;=Z$9+6,$G27&gt;=Z$9),IF($M27="Yes","◆","■"),""))</x:f>
      </x:c>
      <x:c r="AA27" s="30" t="str">
        <x:f>IF(OR($F27="",$G27=""),"",IF(AND($F27&lt;=AA$9+6,$G27&gt;=AA$9),IF($M27="Yes","◆","■"),""))</x:f>
      </x:c>
      <x:c r="AB27" s="30" t="str">
        <x:f>IF(OR($F27="",$G27=""),"",IF(AND($F27&lt;=AB$9+6,$G27&gt;=AB$9),IF($M27="Yes","◆","■"),""))</x:f>
      </x:c>
      <x:c r="AC27" t="str">
        <x:f>IF(OR($F27="",$G27=""),"",IF(AND($F27&lt;=AC$9+6,$G27&gt;=AC$9),IF($M27="Yes","◆","■"),""))</x:f>
        <x:v>◆</x:v>
      </x:c>
      <x:c r="AD27" t="str">
        <x:f>IF(OR($F27="",$G27=""),"",IF(AND($F27&lt;=AD$9+6,$G27&gt;=AD$9),IF($M27="Yes","◆","■"),""))</x:f>
      </x:c>
      <x:c r="AE27" t="str">
        <x:f>IF(OR($F27="",$G27=""),"",IF(AND($F27&lt;=AE$9+6,$G27&gt;=AE$9),IF($M27="Yes","◆","■"),""))</x:f>
      </x:c>
      <x:c r="AF27" t="str">
        <x:f>IF(OR($F27="",$G27=""),"",IF(AND($F27&lt;=AF$9+6,$G27&gt;=AF$9),IF($M27="Yes","◆","■"),""))</x:f>
      </x:c>
      <x:c r="AG27" t="str">
        <x:f>IF(OR($F27="",$G27=""),"",IF(AND($F27&lt;=AG$9+6,$G27&gt;=AG$9),IF($M27="Yes","◆","■"),""))</x:f>
      </x:c>
      <x:c r="AH27" t="str">
        <x:f>IF(OR($F27="",$G27=""),"",IF(AND($F27&lt;=AH$9+6,$G27&gt;=AH$9),IF($M27="Yes","◆","■"),""))</x:f>
      </x:c>
    </x:row>
    <x:row r="28">
      <x:c r="B28" t="str">
        <x:f>IF('Task List'!$B28="","",'Task List'!B28)</x:f>
      </x:c>
      <x:c r="C28" t="str">
        <x:f>IF('Task List'!$B28="","",'Task List'!C28)</x:f>
      </x:c>
      <x:c r="D28" t="str">
        <x:f>IF('Task List'!$B28="","",'Task List'!D28)</x:f>
      </x:c>
      <x:c r="E28" t="str">
        <x:f>IF('Task List'!$B28="","",'Task List'!F28)</x:f>
      </x:c>
      <x:c r="F28" t="str">
        <x:f>IF('Task List'!$B28="","",'Task List'!G28)</x:f>
      </x:c>
      <x:c r="G28" t="str">
        <x:f>IF('Task List'!$B28="","",'Task List'!H28)</x:f>
      </x:c>
      <x:c r="H28" t="str">
        <x:f>IF('Task List'!$B28="","",'Task List'!I28)</x:f>
      </x:c>
      <x:c r="I28" t="str">
        <x:f>IF('Task List'!$B28="","",'Task List'!J28)</x:f>
      </x:c>
      <x:c r="J28" t="str">
        <x:f>IF('Task List'!$B28="","",'Task List'!K28)</x:f>
      </x:c>
      <x:c r="K28" t="str">
        <x:f>IF('Task List'!$B28="","",'Task List'!L28)</x:f>
      </x:c>
      <x:c r="L28" t="str">
        <x:f>IF('Task List'!$B28="","",'Task List'!M28)</x:f>
      </x:c>
      <x:c r="M28" t="str">
        <x:f>IF('Task List'!$B28="","",'Task List'!N28)</x:f>
      </x:c>
      <x:c r="N28" t="str">
        <x:f>IF('Task List'!$B28="","",'Task List'!Q28)</x:f>
      </x:c>
      <x:c r="O28" t="str">
        <x:f>IF(OR($F28="",$G28=""),"",IF(AND($F28&lt;=O$9+6,$G28&gt;=O$9),IF($M28="Yes","◆","■"),""))</x:f>
      </x:c>
      <x:c r="P28" t="str">
        <x:f>IF(OR($F28="",$G28=""),"",IF(AND($F28&lt;=P$9+6,$G28&gt;=P$9),IF($M28="Yes","◆","■"),""))</x:f>
      </x:c>
      <x:c r="Q28" t="str">
        <x:f>IF(OR($F28="",$G28=""),"",IF(AND($F28&lt;=Q$9+6,$G28&gt;=Q$9),IF($M28="Yes","◆","■"),""))</x:f>
      </x:c>
      <x:c r="R28" t="str">
        <x:f>IF(OR($F28="",$G28=""),"",IF(AND($F28&lt;=R$9+6,$G28&gt;=R$9),IF($M28="Yes","◆","■"),""))</x:f>
      </x:c>
      <x:c r="S28" t="str">
        <x:f>IF(OR($F28="",$G28=""),"",IF(AND($F28&lt;=S$9+6,$G28&gt;=S$9),IF($M28="Yes","◆","■"),""))</x:f>
      </x:c>
      <x:c r="T28" t="str">
        <x:f>IF(OR($F28="",$G28=""),"",IF(AND($F28&lt;=T$9+6,$G28&gt;=T$9),IF($M28="Yes","◆","■"),""))</x:f>
      </x:c>
      <x:c r="U28" t="str">
        <x:f>IF(OR($F28="",$G28=""),"",IF(AND($F28&lt;=U$9+6,$G28&gt;=U$9),IF($M28="Yes","◆","■"),""))</x:f>
      </x:c>
      <x:c r="V28" t="str">
        <x:f>IF(OR($F28="",$G28=""),"",IF(AND($F28&lt;=V$9+6,$G28&gt;=V$9),IF($M28="Yes","◆","■"),""))</x:f>
      </x:c>
      <x:c r="W28" t="str">
        <x:f>IF(OR($F28="",$G28=""),"",IF(AND($F28&lt;=W$9+6,$G28&gt;=W$9),IF($M28="Yes","◆","■"),""))</x:f>
      </x:c>
      <x:c r="X28" t="str">
        <x:f>IF(OR($F28="",$G28=""),"",IF(AND($F28&lt;=X$9+6,$G28&gt;=X$9),IF($M28="Yes","◆","■"),""))</x:f>
      </x:c>
      <x:c r="Y28" t="str">
        <x:f>IF(OR($F28="",$G28=""),"",IF(AND($F28&lt;=Y$9+6,$G28&gt;=Y$9),IF($M28="Yes","◆","■"),""))</x:f>
      </x:c>
      <x:c r="Z28" t="str">
        <x:f>IF(OR($F28="",$G28=""),"",IF(AND($F28&lt;=Z$9+6,$G28&gt;=Z$9),IF($M28="Yes","◆","■"),""))</x:f>
      </x:c>
      <x:c r="AA28" t="str">
        <x:f>IF(OR($F28="",$G28=""),"",IF(AND($F28&lt;=AA$9+6,$G28&gt;=AA$9),IF($M28="Yes","◆","■"),""))</x:f>
      </x:c>
      <x:c r="AB28" t="str">
        <x:f>IF(OR($F28="",$G28=""),"",IF(AND($F28&lt;=AB$9+6,$G28&gt;=AB$9),IF($M28="Yes","◆","■"),""))</x:f>
      </x:c>
      <x:c r="AC28" t="str">
        <x:f>IF(OR($F28="",$G28=""),"",IF(AND($F28&lt;=AC$9+6,$G28&gt;=AC$9),IF($M28="Yes","◆","■"),""))</x:f>
      </x:c>
      <x:c r="AD28" t="str">
        <x:f>IF(OR($F28="",$G28=""),"",IF(AND($F28&lt;=AD$9+6,$G28&gt;=AD$9),IF($M28="Yes","◆","■"),""))</x:f>
      </x:c>
      <x:c r="AE28" t="str">
        <x:f>IF(OR($F28="",$G28=""),"",IF(AND($F28&lt;=AE$9+6,$G28&gt;=AE$9),IF($M28="Yes","◆","■"),""))</x:f>
      </x:c>
      <x:c r="AF28" t="str">
        <x:f>IF(OR($F28="",$G28=""),"",IF(AND($F28&lt;=AF$9+6,$G28&gt;=AF$9),IF($M28="Yes","◆","■"),""))</x:f>
      </x:c>
      <x:c r="AG28" t="str">
        <x:f>IF(OR($F28="",$G28=""),"",IF(AND($F28&lt;=AG$9+6,$G28&gt;=AG$9),IF($M28="Yes","◆","■"),""))</x:f>
      </x:c>
      <x:c r="AH28" t="str">
        <x:f>IF(OR($F28="",$G28=""),"",IF(AND($F28&lt;=AH$9+6,$G28&gt;=AH$9),IF($M28="Yes","◆","■"),""))</x:f>
      </x:c>
    </x:row>
    <x:row r="29">
      <x:c r="B29" t="str">
        <x:f>IF('Task List'!$B29="","",'Task List'!B29)</x:f>
      </x:c>
      <x:c r="C29" t="str">
        <x:f>IF('Task List'!$B29="","",'Task List'!C29)</x:f>
      </x:c>
      <x:c r="D29" t="str">
        <x:f>IF('Task List'!$B29="","",'Task List'!D29)</x:f>
      </x:c>
      <x:c r="E29" t="str">
        <x:f>IF('Task List'!$B29="","",'Task List'!F29)</x:f>
      </x:c>
      <x:c r="F29" t="str">
        <x:f>IF('Task List'!$B29="","",'Task List'!G29)</x:f>
      </x:c>
      <x:c r="G29" t="str">
        <x:f>IF('Task List'!$B29="","",'Task List'!H29)</x:f>
      </x:c>
      <x:c r="H29" t="str">
        <x:f>IF('Task List'!$B29="","",'Task List'!I29)</x:f>
      </x:c>
      <x:c r="I29" t="str">
        <x:f>IF('Task List'!$B29="","",'Task List'!J29)</x:f>
      </x:c>
      <x:c r="J29" t="str">
        <x:f>IF('Task List'!$B29="","",'Task List'!K29)</x:f>
      </x:c>
      <x:c r="K29" t="str">
        <x:f>IF('Task List'!$B29="","",'Task List'!L29)</x:f>
      </x:c>
      <x:c r="L29" t="str">
        <x:f>IF('Task List'!$B29="","",'Task List'!M29)</x:f>
      </x:c>
      <x:c r="M29" t="str">
        <x:f>IF('Task List'!$B29="","",'Task List'!N29)</x:f>
      </x:c>
      <x:c r="N29" t="str">
        <x:f>IF('Task List'!$B29="","",'Task List'!Q29)</x:f>
      </x:c>
      <x:c r="O29" t="str">
        <x:f>IF(OR($F29="",$G29=""),"",IF(AND($F29&lt;=O$9+6,$G29&gt;=O$9),IF($M29="Yes","◆","■"),""))</x:f>
      </x:c>
      <x:c r="P29" t="str">
        <x:f>IF(OR($F29="",$G29=""),"",IF(AND($F29&lt;=P$9+6,$G29&gt;=P$9),IF($M29="Yes","◆","■"),""))</x:f>
      </x:c>
      <x:c r="Q29" t="str">
        <x:f>IF(OR($F29="",$G29=""),"",IF(AND($F29&lt;=Q$9+6,$G29&gt;=Q$9),IF($M29="Yes","◆","■"),""))</x:f>
      </x:c>
      <x:c r="R29" t="str">
        <x:f>IF(OR($F29="",$G29=""),"",IF(AND($F29&lt;=R$9+6,$G29&gt;=R$9),IF($M29="Yes","◆","■"),""))</x:f>
      </x:c>
      <x:c r="S29" t="str">
        <x:f>IF(OR($F29="",$G29=""),"",IF(AND($F29&lt;=S$9+6,$G29&gt;=S$9),IF($M29="Yes","◆","■"),""))</x:f>
      </x:c>
      <x:c r="T29" t="str">
        <x:f>IF(OR($F29="",$G29=""),"",IF(AND($F29&lt;=T$9+6,$G29&gt;=T$9),IF($M29="Yes","◆","■"),""))</x:f>
      </x:c>
      <x:c r="U29" t="str">
        <x:f>IF(OR($F29="",$G29=""),"",IF(AND($F29&lt;=U$9+6,$G29&gt;=U$9),IF($M29="Yes","◆","■"),""))</x:f>
      </x:c>
      <x:c r="V29" t="str">
        <x:f>IF(OR($F29="",$G29=""),"",IF(AND($F29&lt;=V$9+6,$G29&gt;=V$9),IF($M29="Yes","◆","■"),""))</x:f>
      </x:c>
      <x:c r="W29" t="str">
        <x:f>IF(OR($F29="",$G29=""),"",IF(AND($F29&lt;=W$9+6,$G29&gt;=W$9),IF($M29="Yes","◆","■"),""))</x:f>
      </x:c>
      <x:c r="X29" t="str">
        <x:f>IF(OR($F29="",$G29=""),"",IF(AND($F29&lt;=X$9+6,$G29&gt;=X$9),IF($M29="Yes","◆","■"),""))</x:f>
      </x:c>
      <x:c r="Y29" t="str">
        <x:f>IF(OR($F29="",$G29=""),"",IF(AND($F29&lt;=Y$9+6,$G29&gt;=Y$9),IF($M29="Yes","◆","■"),""))</x:f>
      </x:c>
      <x:c r="Z29" t="str">
        <x:f>IF(OR($F29="",$G29=""),"",IF(AND($F29&lt;=Z$9+6,$G29&gt;=Z$9),IF($M29="Yes","◆","■"),""))</x:f>
      </x:c>
      <x:c r="AA29" t="str">
        <x:f>IF(OR($F29="",$G29=""),"",IF(AND($F29&lt;=AA$9+6,$G29&gt;=AA$9),IF($M29="Yes","◆","■"),""))</x:f>
      </x:c>
      <x:c r="AB29" t="str">
        <x:f>IF(OR($F29="",$G29=""),"",IF(AND($F29&lt;=AB$9+6,$G29&gt;=AB$9),IF($M29="Yes","◆","■"),""))</x:f>
      </x:c>
      <x:c r="AC29" t="str">
        <x:f>IF(OR($F29="",$G29=""),"",IF(AND($F29&lt;=AC$9+6,$G29&gt;=AC$9),IF($M29="Yes","◆","■"),""))</x:f>
      </x:c>
      <x:c r="AD29" t="str">
        <x:f>IF(OR($F29="",$G29=""),"",IF(AND($F29&lt;=AD$9+6,$G29&gt;=AD$9),IF($M29="Yes","◆","■"),""))</x:f>
      </x:c>
      <x:c r="AE29" t="str">
        <x:f>IF(OR($F29="",$G29=""),"",IF(AND($F29&lt;=AE$9+6,$G29&gt;=AE$9),IF($M29="Yes","◆","■"),""))</x:f>
      </x:c>
      <x:c r="AF29" t="str">
        <x:f>IF(OR($F29="",$G29=""),"",IF(AND($F29&lt;=AF$9+6,$G29&gt;=AF$9),IF($M29="Yes","◆","■"),""))</x:f>
      </x:c>
      <x:c r="AG29" t="str">
        <x:f>IF(OR($F29="",$G29=""),"",IF(AND($F29&lt;=AG$9+6,$G29&gt;=AG$9),IF($M29="Yes","◆","■"),""))</x:f>
      </x:c>
      <x:c r="AH29" t="str">
        <x:f>IF(OR($F29="",$G29=""),"",IF(AND($F29&lt;=AH$9+6,$G29&gt;=AH$9),IF($M29="Yes","◆","■"),""))</x:f>
      </x:c>
    </x:row>
    <x:row r="30">
      <x:c r="B30" t="str">
        <x:f>IF('Task List'!$B30="","",'Task List'!B30)</x:f>
      </x:c>
      <x:c r="C30" t="str">
        <x:f>IF('Task List'!$B30="","",'Task List'!C30)</x:f>
      </x:c>
      <x:c r="D30" t="str">
        <x:f>IF('Task List'!$B30="","",'Task List'!D30)</x:f>
      </x:c>
      <x:c r="E30" t="str">
        <x:f>IF('Task List'!$B30="","",'Task List'!F30)</x:f>
      </x:c>
      <x:c r="F30" t="str">
        <x:f>IF('Task List'!$B30="","",'Task List'!G30)</x:f>
      </x:c>
      <x:c r="G30" t="str">
        <x:f>IF('Task List'!$B30="","",'Task List'!H30)</x:f>
      </x:c>
      <x:c r="H30" t="str">
        <x:f>IF('Task List'!$B30="","",'Task List'!I30)</x:f>
      </x:c>
      <x:c r="I30" t="str">
        <x:f>IF('Task List'!$B30="","",'Task List'!J30)</x:f>
      </x:c>
      <x:c r="J30" t="str">
        <x:f>IF('Task List'!$B30="","",'Task List'!K30)</x:f>
      </x:c>
      <x:c r="K30" t="str">
        <x:f>IF('Task List'!$B30="","",'Task List'!L30)</x:f>
      </x:c>
      <x:c r="L30" t="str">
        <x:f>IF('Task List'!$B30="","",'Task List'!M30)</x:f>
      </x:c>
      <x:c r="M30" t="str">
        <x:f>IF('Task List'!$B30="","",'Task List'!N30)</x:f>
      </x:c>
      <x:c r="N30" t="str">
        <x:f>IF('Task List'!$B30="","",'Task List'!Q30)</x:f>
      </x:c>
      <x:c r="O30" t="str">
        <x:f>IF(OR($F30="",$G30=""),"",IF(AND($F30&lt;=O$9+6,$G30&gt;=O$9),IF($M30="Yes","◆","■"),""))</x:f>
      </x:c>
      <x:c r="P30" t="str">
        <x:f>IF(OR($F30="",$G30=""),"",IF(AND($F30&lt;=P$9+6,$G30&gt;=P$9),IF($M30="Yes","◆","■"),""))</x:f>
      </x:c>
      <x:c r="Q30" t="str">
        <x:f>IF(OR($F30="",$G30=""),"",IF(AND($F30&lt;=Q$9+6,$G30&gt;=Q$9),IF($M30="Yes","◆","■"),""))</x:f>
      </x:c>
      <x:c r="R30" t="str">
        <x:f>IF(OR($F30="",$G30=""),"",IF(AND($F30&lt;=R$9+6,$G30&gt;=R$9),IF($M30="Yes","◆","■"),""))</x:f>
      </x:c>
      <x:c r="S30" t="str">
        <x:f>IF(OR($F30="",$G30=""),"",IF(AND($F30&lt;=S$9+6,$G30&gt;=S$9),IF($M30="Yes","◆","■"),""))</x:f>
      </x:c>
      <x:c r="T30" t="str">
        <x:f>IF(OR($F30="",$G30=""),"",IF(AND($F30&lt;=T$9+6,$G30&gt;=T$9),IF($M30="Yes","◆","■"),""))</x:f>
      </x:c>
      <x:c r="U30" t="str">
        <x:f>IF(OR($F30="",$G30=""),"",IF(AND($F30&lt;=U$9+6,$G30&gt;=U$9),IF($M30="Yes","◆","■"),""))</x:f>
      </x:c>
      <x:c r="V30" t="str">
        <x:f>IF(OR($F30="",$G30=""),"",IF(AND($F30&lt;=V$9+6,$G30&gt;=V$9),IF($M30="Yes","◆","■"),""))</x:f>
      </x:c>
      <x:c r="W30" t="str">
        <x:f>IF(OR($F30="",$G30=""),"",IF(AND($F30&lt;=W$9+6,$G30&gt;=W$9),IF($M30="Yes","◆","■"),""))</x:f>
      </x:c>
      <x:c r="X30" t="str">
        <x:f>IF(OR($F30="",$G30=""),"",IF(AND($F30&lt;=X$9+6,$G30&gt;=X$9),IF($M30="Yes","◆","■"),""))</x:f>
      </x:c>
      <x:c r="Y30" t="str">
        <x:f>IF(OR($F30="",$G30=""),"",IF(AND($F30&lt;=Y$9+6,$G30&gt;=Y$9),IF($M30="Yes","◆","■"),""))</x:f>
      </x:c>
      <x:c r="Z30" t="str">
        <x:f>IF(OR($F30="",$G30=""),"",IF(AND($F30&lt;=Z$9+6,$G30&gt;=Z$9),IF($M30="Yes","◆","■"),""))</x:f>
      </x:c>
      <x:c r="AA30" t="str">
        <x:f>IF(OR($F30="",$G30=""),"",IF(AND($F30&lt;=AA$9+6,$G30&gt;=AA$9),IF($M30="Yes","◆","■"),""))</x:f>
      </x:c>
      <x:c r="AB30" t="str">
        <x:f>IF(OR($F30="",$G30=""),"",IF(AND($F30&lt;=AB$9+6,$G30&gt;=AB$9),IF($M30="Yes","◆","■"),""))</x:f>
      </x:c>
      <x:c r="AC30" t="str">
        <x:f>IF(OR($F30="",$G30=""),"",IF(AND($F30&lt;=AC$9+6,$G30&gt;=AC$9),IF($M30="Yes","◆","■"),""))</x:f>
      </x:c>
      <x:c r="AD30" t="str">
        <x:f>IF(OR($F30="",$G30=""),"",IF(AND($F30&lt;=AD$9+6,$G30&gt;=AD$9),IF($M30="Yes","◆","■"),""))</x:f>
      </x:c>
      <x:c r="AE30" t="str">
        <x:f>IF(OR($F30="",$G30=""),"",IF(AND($F30&lt;=AE$9+6,$G30&gt;=AE$9),IF($M30="Yes","◆","■"),""))</x:f>
      </x:c>
      <x:c r="AF30" t="str">
        <x:f>IF(OR($F30="",$G30=""),"",IF(AND($F30&lt;=AF$9+6,$G30&gt;=AF$9),IF($M30="Yes","◆","■"),""))</x:f>
      </x:c>
      <x:c r="AG30" t="str">
        <x:f>IF(OR($F30="",$G30=""),"",IF(AND($F30&lt;=AG$9+6,$G30&gt;=AG$9),IF($M30="Yes","◆","■"),""))</x:f>
      </x:c>
      <x:c r="AH30" t="str">
        <x:f>IF(OR($F30="",$G30=""),"",IF(AND($F30&lt;=AH$9+6,$G30&gt;=AH$9),IF($M30="Yes","◆","■"),""))</x:f>
      </x:c>
    </x:row>
    <x:row r="31">
      <x:c r="B31" t="str">
        <x:f>IF('Task List'!$B31="","",'Task List'!B31)</x:f>
      </x:c>
      <x:c r="C31" t="str">
        <x:f>IF('Task List'!$B31="","",'Task List'!C31)</x:f>
      </x:c>
      <x:c r="D31" t="str">
        <x:f>IF('Task List'!$B31="","",'Task List'!D31)</x:f>
      </x:c>
      <x:c r="E31" t="str">
        <x:f>IF('Task List'!$B31="","",'Task List'!F31)</x:f>
      </x:c>
      <x:c r="F31" t="str">
        <x:f>IF('Task List'!$B31="","",'Task List'!G31)</x:f>
      </x:c>
      <x:c r="G31" t="str">
        <x:f>IF('Task List'!$B31="","",'Task List'!H31)</x:f>
      </x:c>
      <x:c r="H31" t="str">
        <x:f>IF('Task List'!$B31="","",'Task List'!I31)</x:f>
      </x:c>
      <x:c r="I31" t="str">
        <x:f>IF('Task List'!$B31="","",'Task List'!J31)</x:f>
      </x:c>
      <x:c r="J31" t="str">
        <x:f>IF('Task List'!$B31="","",'Task List'!K31)</x:f>
      </x:c>
      <x:c r="K31" t="str">
        <x:f>IF('Task List'!$B31="","",'Task List'!L31)</x:f>
      </x:c>
      <x:c r="L31" t="str">
        <x:f>IF('Task List'!$B31="","",'Task List'!M31)</x:f>
      </x:c>
      <x:c r="M31" t="str">
        <x:f>IF('Task List'!$B31="","",'Task List'!N31)</x:f>
      </x:c>
      <x:c r="N31" t="str">
        <x:f>IF('Task List'!$B31="","",'Task List'!Q31)</x:f>
      </x:c>
      <x:c r="O31" t="str">
        <x:f>IF(OR($F31="",$G31=""),"",IF(AND($F31&lt;=O$9+6,$G31&gt;=O$9),IF($M31="Yes","◆","■"),""))</x:f>
      </x:c>
      <x:c r="P31" t="str">
        <x:f>IF(OR($F31="",$G31=""),"",IF(AND($F31&lt;=P$9+6,$G31&gt;=P$9),IF($M31="Yes","◆","■"),""))</x:f>
      </x:c>
      <x:c r="Q31" t="str">
        <x:f>IF(OR($F31="",$G31=""),"",IF(AND($F31&lt;=Q$9+6,$G31&gt;=Q$9),IF($M31="Yes","◆","■"),""))</x:f>
      </x:c>
      <x:c r="R31" t="str">
        <x:f>IF(OR($F31="",$G31=""),"",IF(AND($F31&lt;=R$9+6,$G31&gt;=R$9),IF($M31="Yes","◆","■"),""))</x:f>
      </x:c>
      <x:c r="S31" t="str">
        <x:f>IF(OR($F31="",$G31=""),"",IF(AND($F31&lt;=S$9+6,$G31&gt;=S$9),IF($M31="Yes","◆","■"),""))</x:f>
      </x:c>
      <x:c r="T31" t="str">
        <x:f>IF(OR($F31="",$G31=""),"",IF(AND($F31&lt;=T$9+6,$G31&gt;=T$9),IF($M31="Yes","◆","■"),""))</x:f>
      </x:c>
      <x:c r="U31" t="str">
        <x:f>IF(OR($F31="",$G31=""),"",IF(AND($F31&lt;=U$9+6,$G31&gt;=U$9),IF($M31="Yes","◆","■"),""))</x:f>
      </x:c>
      <x:c r="V31" t="str">
        <x:f>IF(OR($F31="",$G31=""),"",IF(AND($F31&lt;=V$9+6,$G31&gt;=V$9),IF($M31="Yes","◆","■"),""))</x:f>
      </x:c>
      <x:c r="W31" t="str">
        <x:f>IF(OR($F31="",$G31=""),"",IF(AND($F31&lt;=W$9+6,$G31&gt;=W$9),IF($M31="Yes","◆","■"),""))</x:f>
      </x:c>
      <x:c r="X31" t="str">
        <x:f>IF(OR($F31="",$G31=""),"",IF(AND($F31&lt;=X$9+6,$G31&gt;=X$9),IF($M31="Yes","◆","■"),""))</x:f>
      </x:c>
      <x:c r="Y31" t="str">
        <x:f>IF(OR($F31="",$G31=""),"",IF(AND($F31&lt;=Y$9+6,$G31&gt;=Y$9),IF($M31="Yes","◆","■"),""))</x:f>
      </x:c>
      <x:c r="Z31" t="str">
        <x:f>IF(OR($F31="",$G31=""),"",IF(AND($F31&lt;=Z$9+6,$G31&gt;=Z$9),IF($M31="Yes","◆","■"),""))</x:f>
      </x:c>
      <x:c r="AA31" t="str">
        <x:f>IF(OR($F31="",$G31=""),"",IF(AND($F31&lt;=AA$9+6,$G31&gt;=AA$9),IF($M31="Yes","◆","■"),""))</x:f>
      </x:c>
      <x:c r="AB31" t="str">
        <x:f>IF(OR($F31="",$G31=""),"",IF(AND($F31&lt;=AB$9+6,$G31&gt;=AB$9),IF($M31="Yes","◆","■"),""))</x:f>
      </x:c>
      <x:c r="AC31" t="str">
        <x:f>IF(OR($F31="",$G31=""),"",IF(AND($F31&lt;=AC$9+6,$G31&gt;=AC$9),IF($M31="Yes","◆","■"),""))</x:f>
      </x:c>
      <x:c r="AD31" t="str">
        <x:f>IF(OR($F31="",$G31=""),"",IF(AND($F31&lt;=AD$9+6,$G31&gt;=AD$9),IF($M31="Yes","◆","■"),""))</x:f>
      </x:c>
      <x:c r="AE31" t="str">
        <x:f>IF(OR($F31="",$G31=""),"",IF(AND($F31&lt;=AE$9+6,$G31&gt;=AE$9),IF($M31="Yes","◆","■"),""))</x:f>
      </x:c>
      <x:c r="AF31" t="str">
        <x:f>IF(OR($F31="",$G31=""),"",IF(AND($F31&lt;=AF$9+6,$G31&gt;=AF$9),IF($M31="Yes","◆","■"),""))</x:f>
      </x:c>
      <x:c r="AG31" t="str">
        <x:f>IF(OR($F31="",$G31=""),"",IF(AND($F31&lt;=AG$9+6,$G31&gt;=AG$9),IF($M31="Yes","◆","■"),""))</x:f>
      </x:c>
      <x:c r="AH31" t="str">
        <x:f>IF(OR($F31="",$G31=""),"",IF(AND($F31&lt;=AH$9+6,$G31&gt;=AH$9),IF($M31="Yes","◆","■"),""))</x:f>
      </x:c>
    </x:row>
    <x:row r="32">
      <x:c r="B32" t="str">
        <x:f>IF('Task List'!$B32="","",'Task List'!B32)</x:f>
      </x:c>
      <x:c r="C32" t="str">
        <x:f>IF('Task List'!$B32="","",'Task List'!C32)</x:f>
      </x:c>
      <x:c r="D32" t="str">
        <x:f>IF('Task List'!$B32="","",'Task List'!D32)</x:f>
      </x:c>
      <x:c r="E32" t="str">
        <x:f>IF('Task List'!$B32="","",'Task List'!F32)</x:f>
      </x:c>
      <x:c r="F32" t="str">
        <x:f>IF('Task List'!$B32="","",'Task List'!G32)</x:f>
      </x:c>
      <x:c r="G32" t="str">
        <x:f>IF('Task List'!$B32="","",'Task List'!H32)</x:f>
      </x:c>
      <x:c r="H32" t="str">
        <x:f>IF('Task List'!$B32="","",'Task List'!I32)</x:f>
      </x:c>
      <x:c r="I32" t="str">
        <x:f>IF('Task List'!$B32="","",'Task List'!J32)</x:f>
      </x:c>
      <x:c r="J32" t="str">
        <x:f>IF('Task List'!$B32="","",'Task List'!K32)</x:f>
      </x:c>
      <x:c r="K32" t="str">
        <x:f>IF('Task List'!$B32="","",'Task List'!L32)</x:f>
      </x:c>
      <x:c r="L32" t="str">
        <x:f>IF('Task List'!$B32="","",'Task List'!M32)</x:f>
      </x:c>
      <x:c r="M32" t="str">
        <x:f>IF('Task List'!$B32="","",'Task List'!N32)</x:f>
      </x:c>
      <x:c r="N32" t="str">
        <x:f>IF('Task List'!$B32="","",'Task List'!Q32)</x:f>
      </x:c>
      <x:c r="O32" t="str">
        <x:f>IF(OR($F32="",$G32=""),"",IF(AND($F32&lt;=O$9+6,$G32&gt;=O$9),IF($M32="Yes","◆","■"),""))</x:f>
      </x:c>
      <x:c r="P32" t="str">
        <x:f>IF(OR($F32="",$G32=""),"",IF(AND($F32&lt;=P$9+6,$G32&gt;=P$9),IF($M32="Yes","◆","■"),""))</x:f>
      </x:c>
      <x:c r="Q32" t="str">
        <x:f>IF(OR($F32="",$G32=""),"",IF(AND($F32&lt;=Q$9+6,$G32&gt;=Q$9),IF($M32="Yes","◆","■"),""))</x:f>
      </x:c>
      <x:c r="R32" t="str">
        <x:f>IF(OR($F32="",$G32=""),"",IF(AND($F32&lt;=R$9+6,$G32&gt;=R$9),IF($M32="Yes","◆","■"),""))</x:f>
      </x:c>
      <x:c r="S32" t="str">
        <x:f>IF(OR($F32="",$G32=""),"",IF(AND($F32&lt;=S$9+6,$G32&gt;=S$9),IF($M32="Yes","◆","■"),""))</x:f>
      </x:c>
      <x:c r="T32" t="str">
        <x:f>IF(OR($F32="",$G32=""),"",IF(AND($F32&lt;=T$9+6,$G32&gt;=T$9),IF($M32="Yes","◆","■"),""))</x:f>
      </x:c>
      <x:c r="U32" t="str">
        <x:f>IF(OR($F32="",$G32=""),"",IF(AND($F32&lt;=U$9+6,$G32&gt;=U$9),IF($M32="Yes","◆","■"),""))</x:f>
      </x:c>
      <x:c r="V32" t="str">
        <x:f>IF(OR($F32="",$G32=""),"",IF(AND($F32&lt;=V$9+6,$G32&gt;=V$9),IF($M32="Yes","◆","■"),""))</x:f>
      </x:c>
      <x:c r="W32" t="str">
        <x:f>IF(OR($F32="",$G32=""),"",IF(AND($F32&lt;=W$9+6,$G32&gt;=W$9),IF($M32="Yes","◆","■"),""))</x:f>
      </x:c>
      <x:c r="X32" t="str">
        <x:f>IF(OR($F32="",$G32=""),"",IF(AND($F32&lt;=X$9+6,$G32&gt;=X$9),IF($M32="Yes","◆","■"),""))</x:f>
      </x:c>
      <x:c r="Y32" t="str">
        <x:f>IF(OR($F32="",$G32=""),"",IF(AND($F32&lt;=Y$9+6,$G32&gt;=Y$9),IF($M32="Yes","◆","■"),""))</x:f>
      </x:c>
      <x:c r="Z32" t="str">
        <x:f>IF(OR($F32="",$G32=""),"",IF(AND($F32&lt;=Z$9+6,$G32&gt;=Z$9),IF($M32="Yes","◆","■"),""))</x:f>
      </x:c>
      <x:c r="AA32" t="str">
        <x:f>IF(OR($F32="",$G32=""),"",IF(AND($F32&lt;=AA$9+6,$G32&gt;=AA$9),IF($M32="Yes","◆","■"),""))</x:f>
      </x:c>
      <x:c r="AB32" t="str">
        <x:f>IF(OR($F32="",$G32=""),"",IF(AND($F32&lt;=AB$9+6,$G32&gt;=AB$9),IF($M32="Yes","◆","■"),""))</x:f>
      </x:c>
      <x:c r="AC32" t="str">
        <x:f>IF(OR($F32="",$G32=""),"",IF(AND($F32&lt;=AC$9+6,$G32&gt;=AC$9),IF($M32="Yes","◆","■"),""))</x:f>
      </x:c>
      <x:c r="AD32" t="str">
        <x:f>IF(OR($F32="",$G32=""),"",IF(AND($F32&lt;=AD$9+6,$G32&gt;=AD$9),IF($M32="Yes","◆","■"),""))</x:f>
      </x:c>
      <x:c r="AE32" t="str">
        <x:f>IF(OR($F32="",$G32=""),"",IF(AND($F32&lt;=AE$9+6,$G32&gt;=AE$9),IF($M32="Yes","◆","■"),""))</x:f>
      </x:c>
      <x:c r="AF32" t="str">
        <x:f>IF(OR($F32="",$G32=""),"",IF(AND($F32&lt;=AF$9+6,$G32&gt;=AF$9),IF($M32="Yes","◆","■"),""))</x:f>
      </x:c>
      <x:c r="AG32" t="str">
        <x:f>IF(OR($F32="",$G32=""),"",IF(AND($F32&lt;=AG$9+6,$G32&gt;=AG$9),IF($M32="Yes","◆","■"),""))</x:f>
      </x:c>
      <x:c r="AH32" t="str">
        <x:f>IF(OR($F32="",$G32=""),"",IF(AND($F32&lt;=AH$9+6,$G32&gt;=AH$9),IF($M32="Yes","◆","■"),""))</x:f>
      </x:c>
    </x:row>
    <x:row r="33">
      <x:c r="B33" t="str">
        <x:f>IF('Task List'!$B33="","",'Task List'!B33)</x:f>
      </x:c>
      <x:c r="C33" t="str">
        <x:f>IF('Task List'!$B33="","",'Task List'!C33)</x:f>
      </x:c>
      <x:c r="D33" t="str">
        <x:f>IF('Task List'!$B33="","",'Task List'!D33)</x:f>
      </x:c>
      <x:c r="E33" t="str">
        <x:f>IF('Task List'!$B33="","",'Task List'!F33)</x:f>
      </x:c>
      <x:c r="F33" t="str">
        <x:f>IF('Task List'!$B33="","",'Task List'!G33)</x:f>
      </x:c>
      <x:c r="G33" t="str">
        <x:f>IF('Task List'!$B33="","",'Task List'!H33)</x:f>
      </x:c>
      <x:c r="H33" t="str">
        <x:f>IF('Task List'!$B33="","",'Task List'!I33)</x:f>
      </x:c>
      <x:c r="I33" t="str">
        <x:f>IF('Task List'!$B33="","",'Task List'!J33)</x:f>
      </x:c>
      <x:c r="J33" t="str">
        <x:f>IF('Task List'!$B33="","",'Task List'!K33)</x:f>
      </x:c>
      <x:c r="K33" t="str">
        <x:f>IF('Task List'!$B33="","",'Task List'!L33)</x:f>
      </x:c>
      <x:c r="L33" t="str">
        <x:f>IF('Task List'!$B33="","",'Task List'!M33)</x:f>
      </x:c>
      <x:c r="M33" t="str">
        <x:f>IF('Task List'!$B33="","",'Task List'!N33)</x:f>
      </x:c>
      <x:c r="N33" t="str">
        <x:f>IF('Task List'!$B33="","",'Task List'!Q33)</x:f>
      </x:c>
      <x:c r="O33" t="str">
        <x:f>IF(OR($F33="",$G33=""),"",IF(AND($F33&lt;=O$9+6,$G33&gt;=O$9),IF($M33="Yes","◆","■"),""))</x:f>
      </x:c>
      <x:c r="P33" t="str">
        <x:f>IF(OR($F33="",$G33=""),"",IF(AND($F33&lt;=P$9+6,$G33&gt;=P$9),IF($M33="Yes","◆","■"),""))</x:f>
      </x:c>
      <x:c r="Q33" t="str">
        <x:f>IF(OR($F33="",$G33=""),"",IF(AND($F33&lt;=Q$9+6,$G33&gt;=Q$9),IF($M33="Yes","◆","■"),""))</x:f>
      </x:c>
      <x:c r="R33" t="str">
        <x:f>IF(OR($F33="",$G33=""),"",IF(AND($F33&lt;=R$9+6,$G33&gt;=R$9),IF($M33="Yes","◆","■"),""))</x:f>
      </x:c>
      <x:c r="S33" t="str">
        <x:f>IF(OR($F33="",$G33=""),"",IF(AND($F33&lt;=S$9+6,$G33&gt;=S$9),IF($M33="Yes","◆","■"),""))</x:f>
      </x:c>
      <x:c r="T33" t="str">
        <x:f>IF(OR($F33="",$G33=""),"",IF(AND($F33&lt;=T$9+6,$G33&gt;=T$9),IF($M33="Yes","◆","■"),""))</x:f>
      </x:c>
      <x:c r="U33" t="str">
        <x:f>IF(OR($F33="",$G33=""),"",IF(AND($F33&lt;=U$9+6,$G33&gt;=U$9),IF($M33="Yes","◆","■"),""))</x:f>
      </x:c>
      <x:c r="V33" t="str">
        <x:f>IF(OR($F33="",$G33=""),"",IF(AND($F33&lt;=V$9+6,$G33&gt;=V$9),IF($M33="Yes","◆","■"),""))</x:f>
      </x:c>
      <x:c r="W33" t="str">
        <x:f>IF(OR($F33="",$G33=""),"",IF(AND($F33&lt;=W$9+6,$G33&gt;=W$9),IF($M33="Yes","◆","■"),""))</x:f>
      </x:c>
      <x:c r="X33" t="str">
        <x:f>IF(OR($F33="",$G33=""),"",IF(AND($F33&lt;=X$9+6,$G33&gt;=X$9),IF($M33="Yes","◆","■"),""))</x:f>
      </x:c>
      <x:c r="Y33" t="str">
        <x:f>IF(OR($F33="",$G33=""),"",IF(AND($F33&lt;=Y$9+6,$G33&gt;=Y$9),IF($M33="Yes","◆","■"),""))</x:f>
      </x:c>
      <x:c r="Z33" t="str">
        <x:f>IF(OR($F33="",$G33=""),"",IF(AND($F33&lt;=Z$9+6,$G33&gt;=Z$9),IF($M33="Yes","◆","■"),""))</x:f>
      </x:c>
      <x:c r="AA33" t="str">
        <x:f>IF(OR($F33="",$G33=""),"",IF(AND($F33&lt;=AA$9+6,$G33&gt;=AA$9),IF($M33="Yes","◆","■"),""))</x:f>
      </x:c>
      <x:c r="AB33" t="str">
        <x:f>IF(OR($F33="",$G33=""),"",IF(AND($F33&lt;=AB$9+6,$G33&gt;=AB$9),IF($M33="Yes","◆","■"),""))</x:f>
      </x:c>
      <x:c r="AC33" t="str">
        <x:f>IF(OR($F33="",$G33=""),"",IF(AND($F33&lt;=AC$9+6,$G33&gt;=AC$9),IF($M33="Yes","◆","■"),""))</x:f>
      </x:c>
      <x:c r="AD33" t="str">
        <x:f>IF(OR($F33="",$G33=""),"",IF(AND($F33&lt;=AD$9+6,$G33&gt;=AD$9),IF($M33="Yes","◆","■"),""))</x:f>
      </x:c>
      <x:c r="AE33" t="str">
        <x:f>IF(OR($F33="",$G33=""),"",IF(AND($F33&lt;=AE$9+6,$G33&gt;=AE$9),IF($M33="Yes","◆","■"),""))</x:f>
      </x:c>
      <x:c r="AF33" t="str">
        <x:f>IF(OR($F33="",$G33=""),"",IF(AND($F33&lt;=AF$9+6,$G33&gt;=AF$9),IF($M33="Yes","◆","■"),""))</x:f>
      </x:c>
      <x:c r="AG33" t="str">
        <x:f>IF(OR($F33="",$G33=""),"",IF(AND($F33&lt;=AG$9+6,$G33&gt;=AG$9),IF($M33="Yes","◆","■"),""))</x:f>
      </x:c>
      <x:c r="AH33" t="str">
        <x:f>IF(OR($F33="",$G33=""),"",IF(AND($F33&lt;=AH$9+6,$G33&gt;=AH$9),IF($M33="Yes","◆","■"),""))</x:f>
      </x:c>
    </x:row>
    <x:row r="34">
      <x:c r="B34" t="str">
        <x:f>IF('Task List'!$B34="","",'Task List'!B34)</x:f>
      </x:c>
      <x:c r="C34" t="str">
        <x:f>IF('Task List'!$B34="","",'Task List'!C34)</x:f>
      </x:c>
      <x:c r="D34" t="str">
        <x:f>IF('Task List'!$B34="","",'Task List'!D34)</x:f>
      </x:c>
      <x:c r="E34" t="str">
        <x:f>IF('Task List'!$B34="","",'Task List'!F34)</x:f>
      </x:c>
      <x:c r="F34" t="str">
        <x:f>IF('Task List'!$B34="","",'Task List'!G34)</x:f>
      </x:c>
      <x:c r="G34" t="str">
        <x:f>IF('Task List'!$B34="","",'Task List'!H34)</x:f>
      </x:c>
      <x:c r="H34" t="str">
        <x:f>IF('Task List'!$B34="","",'Task List'!I34)</x:f>
      </x:c>
      <x:c r="I34" t="str">
        <x:f>IF('Task List'!$B34="","",'Task List'!J34)</x:f>
      </x:c>
      <x:c r="J34" t="str">
        <x:f>IF('Task List'!$B34="","",'Task List'!K34)</x:f>
      </x:c>
      <x:c r="K34" t="str">
        <x:f>IF('Task List'!$B34="","",'Task List'!L34)</x:f>
      </x:c>
      <x:c r="L34" t="str">
        <x:f>IF('Task List'!$B34="","",'Task List'!M34)</x:f>
      </x:c>
      <x:c r="M34" t="str">
        <x:f>IF('Task List'!$B34="","",'Task List'!N34)</x:f>
      </x:c>
      <x:c r="N34" t="str">
        <x:f>IF('Task List'!$B34="","",'Task List'!Q34)</x:f>
      </x:c>
      <x:c r="O34" t="str">
        <x:f>IF(OR($F34="",$G34=""),"",IF(AND($F34&lt;=O$9+6,$G34&gt;=O$9),IF($M34="Yes","◆","■"),""))</x:f>
      </x:c>
      <x:c r="P34" t="str">
        <x:f>IF(OR($F34="",$G34=""),"",IF(AND($F34&lt;=P$9+6,$G34&gt;=P$9),IF($M34="Yes","◆","■"),""))</x:f>
      </x:c>
      <x:c r="Q34" t="str">
        <x:f>IF(OR($F34="",$G34=""),"",IF(AND($F34&lt;=Q$9+6,$G34&gt;=Q$9),IF($M34="Yes","◆","■"),""))</x:f>
      </x:c>
      <x:c r="R34" t="str">
        <x:f>IF(OR($F34="",$G34=""),"",IF(AND($F34&lt;=R$9+6,$G34&gt;=R$9),IF($M34="Yes","◆","■"),""))</x:f>
      </x:c>
      <x:c r="S34" t="str">
        <x:f>IF(OR($F34="",$G34=""),"",IF(AND($F34&lt;=S$9+6,$G34&gt;=S$9),IF($M34="Yes","◆","■"),""))</x:f>
      </x:c>
      <x:c r="T34" t="str">
        <x:f>IF(OR($F34="",$G34=""),"",IF(AND($F34&lt;=T$9+6,$G34&gt;=T$9),IF($M34="Yes","◆","■"),""))</x:f>
      </x:c>
      <x:c r="U34" t="str">
        <x:f>IF(OR($F34="",$G34=""),"",IF(AND($F34&lt;=U$9+6,$G34&gt;=U$9),IF($M34="Yes","◆","■"),""))</x:f>
      </x:c>
      <x:c r="V34" t="str">
        <x:f>IF(OR($F34="",$G34=""),"",IF(AND($F34&lt;=V$9+6,$G34&gt;=V$9),IF($M34="Yes","◆","■"),""))</x:f>
      </x:c>
      <x:c r="W34" t="str">
        <x:f>IF(OR($F34="",$G34=""),"",IF(AND($F34&lt;=W$9+6,$G34&gt;=W$9),IF($M34="Yes","◆","■"),""))</x:f>
      </x:c>
      <x:c r="X34" t="str">
        <x:f>IF(OR($F34="",$G34=""),"",IF(AND($F34&lt;=X$9+6,$G34&gt;=X$9),IF($M34="Yes","◆","■"),""))</x:f>
      </x:c>
      <x:c r="Y34" t="str">
        <x:f>IF(OR($F34="",$G34=""),"",IF(AND($F34&lt;=Y$9+6,$G34&gt;=Y$9),IF($M34="Yes","◆","■"),""))</x:f>
      </x:c>
      <x:c r="Z34" t="str">
        <x:f>IF(OR($F34="",$G34=""),"",IF(AND($F34&lt;=Z$9+6,$G34&gt;=Z$9),IF($M34="Yes","◆","■"),""))</x:f>
      </x:c>
      <x:c r="AA34" t="str">
        <x:f>IF(OR($F34="",$G34=""),"",IF(AND($F34&lt;=AA$9+6,$G34&gt;=AA$9),IF($M34="Yes","◆","■"),""))</x:f>
      </x:c>
      <x:c r="AB34" t="str">
        <x:f>IF(OR($F34="",$G34=""),"",IF(AND($F34&lt;=AB$9+6,$G34&gt;=AB$9),IF($M34="Yes","◆","■"),""))</x:f>
      </x:c>
      <x:c r="AC34" t="str">
        <x:f>IF(OR($F34="",$G34=""),"",IF(AND($F34&lt;=AC$9+6,$G34&gt;=AC$9),IF($M34="Yes","◆","■"),""))</x:f>
      </x:c>
      <x:c r="AD34" t="str">
        <x:f>IF(OR($F34="",$G34=""),"",IF(AND($F34&lt;=AD$9+6,$G34&gt;=AD$9),IF($M34="Yes","◆","■"),""))</x:f>
      </x:c>
      <x:c r="AE34" t="str">
        <x:f>IF(OR($F34="",$G34=""),"",IF(AND($F34&lt;=AE$9+6,$G34&gt;=AE$9),IF($M34="Yes","◆","■"),""))</x:f>
      </x:c>
      <x:c r="AF34" t="str">
        <x:f>IF(OR($F34="",$G34=""),"",IF(AND($F34&lt;=AF$9+6,$G34&gt;=AF$9),IF($M34="Yes","◆","■"),""))</x:f>
      </x:c>
      <x:c r="AG34" t="str">
        <x:f>IF(OR($F34="",$G34=""),"",IF(AND($F34&lt;=AG$9+6,$G34&gt;=AG$9),IF($M34="Yes","◆","■"),""))</x:f>
      </x:c>
      <x:c r="AH34" t="str">
        <x:f>IF(OR($F34="",$G34=""),"",IF(AND($F34&lt;=AH$9+6,$G34&gt;=AH$9),IF($M34="Yes","◆","■"),""))</x:f>
      </x:c>
    </x:row>
    <x:row r="35">
      <x:c r="B35" t="str">
        <x:f>IF('Task List'!$B35="","",'Task List'!B35)</x:f>
      </x:c>
      <x:c r="C35" t="str">
        <x:f>IF('Task List'!$B35="","",'Task List'!C35)</x:f>
      </x:c>
      <x:c r="D35" t="str">
        <x:f>IF('Task List'!$B35="","",'Task List'!D35)</x:f>
      </x:c>
      <x:c r="E35" t="str">
        <x:f>IF('Task List'!$B35="","",'Task List'!F35)</x:f>
      </x:c>
      <x:c r="F35" t="str">
        <x:f>IF('Task List'!$B35="","",'Task List'!G35)</x:f>
      </x:c>
      <x:c r="G35" t="str">
        <x:f>IF('Task List'!$B35="","",'Task List'!H35)</x:f>
      </x:c>
      <x:c r="H35" t="str">
        <x:f>IF('Task List'!$B35="","",'Task List'!I35)</x:f>
      </x:c>
      <x:c r="I35" t="str">
        <x:f>IF('Task List'!$B35="","",'Task List'!J35)</x:f>
      </x:c>
      <x:c r="J35" t="str">
        <x:f>IF('Task List'!$B35="","",'Task List'!K35)</x:f>
      </x:c>
      <x:c r="K35" t="str">
        <x:f>IF('Task List'!$B35="","",'Task List'!L35)</x:f>
      </x:c>
      <x:c r="L35" t="str">
        <x:f>IF('Task List'!$B35="","",'Task List'!M35)</x:f>
      </x:c>
      <x:c r="M35" t="str">
        <x:f>IF('Task List'!$B35="","",'Task List'!N35)</x:f>
      </x:c>
      <x:c r="N35" t="str">
        <x:f>IF('Task List'!$B35="","",'Task List'!Q35)</x:f>
      </x:c>
      <x:c r="O35" t="str">
        <x:f>IF(OR($F35="",$G35=""),"",IF(AND($F35&lt;=O$9+6,$G35&gt;=O$9),IF($M35="Yes","◆","■"),""))</x:f>
      </x:c>
      <x:c r="P35" t="str">
        <x:f>IF(OR($F35="",$G35=""),"",IF(AND($F35&lt;=P$9+6,$G35&gt;=P$9),IF($M35="Yes","◆","■"),""))</x:f>
      </x:c>
      <x:c r="Q35" t="str">
        <x:f>IF(OR($F35="",$G35=""),"",IF(AND($F35&lt;=Q$9+6,$G35&gt;=Q$9),IF($M35="Yes","◆","■"),""))</x:f>
      </x:c>
      <x:c r="R35" t="str">
        <x:f>IF(OR($F35="",$G35=""),"",IF(AND($F35&lt;=R$9+6,$G35&gt;=R$9),IF($M35="Yes","◆","■"),""))</x:f>
      </x:c>
      <x:c r="S35" t="str">
        <x:f>IF(OR($F35="",$G35=""),"",IF(AND($F35&lt;=S$9+6,$G35&gt;=S$9),IF($M35="Yes","◆","■"),""))</x:f>
      </x:c>
      <x:c r="T35" t="str">
        <x:f>IF(OR($F35="",$G35=""),"",IF(AND($F35&lt;=T$9+6,$G35&gt;=T$9),IF($M35="Yes","◆","■"),""))</x:f>
      </x:c>
      <x:c r="U35" t="str">
        <x:f>IF(OR($F35="",$G35=""),"",IF(AND($F35&lt;=U$9+6,$G35&gt;=U$9),IF($M35="Yes","◆","■"),""))</x:f>
      </x:c>
      <x:c r="V35" t="str">
        <x:f>IF(OR($F35="",$G35=""),"",IF(AND($F35&lt;=V$9+6,$G35&gt;=V$9),IF($M35="Yes","◆","■"),""))</x:f>
      </x:c>
      <x:c r="W35" t="str">
        <x:f>IF(OR($F35="",$G35=""),"",IF(AND($F35&lt;=W$9+6,$G35&gt;=W$9),IF($M35="Yes","◆","■"),""))</x:f>
      </x:c>
      <x:c r="X35" t="str">
        <x:f>IF(OR($F35="",$G35=""),"",IF(AND($F35&lt;=X$9+6,$G35&gt;=X$9),IF($M35="Yes","◆","■"),""))</x:f>
      </x:c>
      <x:c r="Y35" t="str">
        <x:f>IF(OR($F35="",$G35=""),"",IF(AND($F35&lt;=Y$9+6,$G35&gt;=Y$9),IF($M35="Yes","◆","■"),""))</x:f>
      </x:c>
      <x:c r="Z35" t="str">
        <x:f>IF(OR($F35="",$G35=""),"",IF(AND($F35&lt;=Z$9+6,$G35&gt;=Z$9),IF($M35="Yes","◆","■"),""))</x:f>
      </x:c>
      <x:c r="AA35" t="str">
        <x:f>IF(OR($F35="",$G35=""),"",IF(AND($F35&lt;=AA$9+6,$G35&gt;=AA$9),IF($M35="Yes","◆","■"),""))</x:f>
      </x:c>
      <x:c r="AB35" t="str">
        <x:f>IF(OR($F35="",$G35=""),"",IF(AND($F35&lt;=AB$9+6,$G35&gt;=AB$9),IF($M35="Yes","◆","■"),""))</x:f>
      </x:c>
      <x:c r="AC35" t="str">
        <x:f>IF(OR($F35="",$G35=""),"",IF(AND($F35&lt;=AC$9+6,$G35&gt;=AC$9),IF($M35="Yes","◆","■"),""))</x:f>
      </x:c>
      <x:c r="AD35" t="str">
        <x:f>IF(OR($F35="",$G35=""),"",IF(AND($F35&lt;=AD$9+6,$G35&gt;=AD$9),IF($M35="Yes","◆","■"),""))</x:f>
      </x:c>
      <x:c r="AE35" t="str">
        <x:f>IF(OR($F35="",$G35=""),"",IF(AND($F35&lt;=AE$9+6,$G35&gt;=AE$9),IF($M35="Yes","◆","■"),""))</x:f>
      </x:c>
      <x:c r="AF35" t="str">
        <x:f>IF(OR($F35="",$G35=""),"",IF(AND($F35&lt;=AF$9+6,$G35&gt;=AF$9),IF($M35="Yes","◆","■"),""))</x:f>
      </x:c>
      <x:c r="AG35" t="str">
        <x:f>IF(OR($F35="",$G35=""),"",IF(AND($F35&lt;=AG$9+6,$G35&gt;=AG$9),IF($M35="Yes","◆","■"),""))</x:f>
      </x:c>
      <x:c r="AH35" t="str">
        <x:f>IF(OR($F35="",$G35=""),"",IF(AND($F35&lt;=AH$9+6,$G35&gt;=AH$9),IF($M35="Yes","◆","■"),""))</x:f>
      </x:c>
    </x:row>
    <x:row r="36">
      <x:c r="B36" t="str">
        <x:f>IF('Task List'!$B36="","",'Task List'!B36)</x:f>
      </x:c>
      <x:c r="C36" t="str">
        <x:f>IF('Task List'!$B36="","",'Task List'!C36)</x:f>
      </x:c>
      <x:c r="D36" t="str">
        <x:f>IF('Task List'!$B36="","",'Task List'!D36)</x:f>
      </x:c>
      <x:c r="E36" t="str">
        <x:f>IF('Task List'!$B36="","",'Task List'!F36)</x:f>
      </x:c>
      <x:c r="F36" t="str">
        <x:f>IF('Task List'!$B36="","",'Task List'!G36)</x:f>
      </x:c>
      <x:c r="G36" t="str">
        <x:f>IF('Task List'!$B36="","",'Task List'!H36)</x:f>
      </x:c>
      <x:c r="H36" t="str">
        <x:f>IF('Task List'!$B36="","",'Task List'!I36)</x:f>
      </x:c>
      <x:c r="I36" t="str">
        <x:f>IF('Task List'!$B36="","",'Task List'!J36)</x:f>
      </x:c>
      <x:c r="J36" t="str">
        <x:f>IF('Task List'!$B36="","",'Task List'!K36)</x:f>
      </x:c>
      <x:c r="K36" t="str">
        <x:f>IF('Task List'!$B36="","",'Task List'!L36)</x:f>
      </x:c>
      <x:c r="L36" t="str">
        <x:f>IF('Task List'!$B36="","",'Task List'!M36)</x:f>
      </x:c>
      <x:c r="M36" t="str">
        <x:f>IF('Task List'!$B36="","",'Task List'!N36)</x:f>
      </x:c>
      <x:c r="N36" t="str">
        <x:f>IF('Task List'!$B36="","",'Task List'!Q36)</x:f>
      </x:c>
      <x:c r="O36" t="str">
        <x:f>IF(OR($F36="",$G36=""),"",IF(AND($F36&lt;=O$9+6,$G36&gt;=O$9),IF($M36="Yes","◆","■"),""))</x:f>
      </x:c>
      <x:c r="P36" t="str">
        <x:f>IF(OR($F36="",$G36=""),"",IF(AND($F36&lt;=P$9+6,$G36&gt;=P$9),IF($M36="Yes","◆","■"),""))</x:f>
      </x:c>
      <x:c r="Q36" t="str">
        <x:f>IF(OR($F36="",$G36=""),"",IF(AND($F36&lt;=Q$9+6,$G36&gt;=Q$9),IF($M36="Yes","◆","■"),""))</x:f>
      </x:c>
      <x:c r="R36" t="str">
        <x:f>IF(OR($F36="",$G36=""),"",IF(AND($F36&lt;=R$9+6,$G36&gt;=R$9),IF($M36="Yes","◆","■"),""))</x:f>
      </x:c>
      <x:c r="S36" t="str">
        <x:f>IF(OR($F36="",$G36=""),"",IF(AND($F36&lt;=S$9+6,$G36&gt;=S$9),IF($M36="Yes","◆","■"),""))</x:f>
      </x:c>
      <x:c r="T36" t="str">
        <x:f>IF(OR($F36="",$G36=""),"",IF(AND($F36&lt;=T$9+6,$G36&gt;=T$9),IF($M36="Yes","◆","■"),""))</x:f>
      </x:c>
      <x:c r="U36" t="str">
        <x:f>IF(OR($F36="",$G36=""),"",IF(AND($F36&lt;=U$9+6,$G36&gt;=U$9),IF($M36="Yes","◆","■"),""))</x:f>
      </x:c>
      <x:c r="V36" t="str">
        <x:f>IF(OR($F36="",$G36=""),"",IF(AND($F36&lt;=V$9+6,$G36&gt;=V$9),IF($M36="Yes","◆","■"),""))</x:f>
      </x:c>
      <x:c r="W36" t="str">
        <x:f>IF(OR($F36="",$G36=""),"",IF(AND($F36&lt;=W$9+6,$G36&gt;=W$9),IF($M36="Yes","◆","■"),""))</x:f>
      </x:c>
      <x:c r="X36" t="str">
        <x:f>IF(OR($F36="",$G36=""),"",IF(AND($F36&lt;=X$9+6,$G36&gt;=X$9),IF($M36="Yes","◆","■"),""))</x:f>
      </x:c>
      <x:c r="Y36" t="str">
        <x:f>IF(OR($F36="",$G36=""),"",IF(AND($F36&lt;=Y$9+6,$G36&gt;=Y$9),IF($M36="Yes","◆","■"),""))</x:f>
      </x:c>
      <x:c r="Z36" t="str">
        <x:f>IF(OR($F36="",$G36=""),"",IF(AND($F36&lt;=Z$9+6,$G36&gt;=Z$9),IF($M36="Yes","◆","■"),""))</x:f>
      </x:c>
      <x:c r="AA36" t="str">
        <x:f>IF(OR($F36="",$G36=""),"",IF(AND($F36&lt;=AA$9+6,$G36&gt;=AA$9),IF($M36="Yes","◆","■"),""))</x:f>
      </x:c>
      <x:c r="AB36" t="str">
        <x:f>IF(OR($F36="",$G36=""),"",IF(AND($F36&lt;=AB$9+6,$G36&gt;=AB$9),IF($M36="Yes","◆","■"),""))</x:f>
      </x:c>
      <x:c r="AC36" t="str">
        <x:f>IF(OR($F36="",$G36=""),"",IF(AND($F36&lt;=AC$9+6,$G36&gt;=AC$9),IF($M36="Yes","◆","■"),""))</x:f>
      </x:c>
      <x:c r="AD36" t="str">
        <x:f>IF(OR($F36="",$G36=""),"",IF(AND($F36&lt;=AD$9+6,$G36&gt;=AD$9),IF($M36="Yes","◆","■"),""))</x:f>
      </x:c>
      <x:c r="AE36" t="str">
        <x:f>IF(OR($F36="",$G36=""),"",IF(AND($F36&lt;=AE$9+6,$G36&gt;=AE$9),IF($M36="Yes","◆","■"),""))</x:f>
      </x:c>
      <x:c r="AF36" t="str">
        <x:f>IF(OR($F36="",$G36=""),"",IF(AND($F36&lt;=AF$9+6,$G36&gt;=AF$9),IF($M36="Yes","◆","■"),""))</x:f>
      </x:c>
      <x:c r="AG36" t="str">
        <x:f>IF(OR($F36="",$G36=""),"",IF(AND($F36&lt;=AG$9+6,$G36&gt;=AG$9),IF($M36="Yes","◆","■"),""))</x:f>
      </x:c>
      <x:c r="AH36" t="str">
        <x:f>IF(OR($F36="",$G36=""),"",IF(AND($F36&lt;=AH$9+6,$G36&gt;=AH$9),IF($M36="Yes","◆","■"),""))</x:f>
      </x:c>
    </x:row>
    <x:row r="37">
      <x:c r="B37" t="str">
        <x:f>IF('Task List'!$B37="","",'Task List'!B37)</x:f>
      </x:c>
      <x:c r="C37" t="str">
        <x:f>IF('Task List'!$B37="","",'Task List'!C37)</x:f>
      </x:c>
      <x:c r="D37" t="str">
        <x:f>IF('Task List'!$B37="","",'Task List'!D37)</x:f>
      </x:c>
      <x:c r="E37" t="str">
        <x:f>IF('Task List'!$B37="","",'Task List'!F37)</x:f>
      </x:c>
      <x:c r="F37" t="str">
        <x:f>IF('Task List'!$B37="","",'Task List'!G37)</x:f>
      </x:c>
      <x:c r="G37" t="str">
        <x:f>IF('Task List'!$B37="","",'Task List'!H37)</x:f>
      </x:c>
      <x:c r="H37" t="str">
        <x:f>IF('Task List'!$B37="","",'Task List'!I37)</x:f>
      </x:c>
      <x:c r="I37" t="str">
        <x:f>IF('Task List'!$B37="","",'Task List'!J37)</x:f>
      </x:c>
      <x:c r="J37" t="str">
        <x:f>IF('Task List'!$B37="","",'Task List'!K37)</x:f>
      </x:c>
      <x:c r="K37" t="str">
        <x:f>IF('Task List'!$B37="","",'Task List'!L37)</x:f>
      </x:c>
      <x:c r="L37" t="str">
        <x:f>IF('Task List'!$B37="","",'Task List'!M37)</x:f>
      </x:c>
      <x:c r="M37" t="str">
        <x:f>IF('Task List'!$B37="","",'Task List'!N37)</x:f>
      </x:c>
      <x:c r="N37" t="str">
        <x:f>IF('Task List'!$B37="","",'Task List'!Q37)</x:f>
      </x:c>
      <x:c r="O37" t="str">
        <x:f>IF(OR($F37="",$G37=""),"",IF(AND($F37&lt;=O$9+6,$G37&gt;=O$9),IF($M37="Yes","◆","■"),""))</x:f>
      </x:c>
      <x:c r="P37" t="str">
        <x:f>IF(OR($F37="",$G37=""),"",IF(AND($F37&lt;=P$9+6,$G37&gt;=P$9),IF($M37="Yes","◆","■"),""))</x:f>
      </x:c>
      <x:c r="Q37" t="str">
        <x:f>IF(OR($F37="",$G37=""),"",IF(AND($F37&lt;=Q$9+6,$G37&gt;=Q$9),IF($M37="Yes","◆","■"),""))</x:f>
      </x:c>
      <x:c r="R37" t="str">
        <x:f>IF(OR($F37="",$G37=""),"",IF(AND($F37&lt;=R$9+6,$G37&gt;=R$9),IF($M37="Yes","◆","■"),""))</x:f>
      </x:c>
      <x:c r="S37" t="str">
        <x:f>IF(OR($F37="",$G37=""),"",IF(AND($F37&lt;=S$9+6,$G37&gt;=S$9),IF($M37="Yes","◆","■"),""))</x:f>
      </x:c>
      <x:c r="T37" t="str">
        <x:f>IF(OR($F37="",$G37=""),"",IF(AND($F37&lt;=T$9+6,$G37&gt;=T$9),IF($M37="Yes","◆","■"),""))</x:f>
      </x:c>
      <x:c r="U37" t="str">
        <x:f>IF(OR($F37="",$G37=""),"",IF(AND($F37&lt;=U$9+6,$G37&gt;=U$9),IF($M37="Yes","◆","■"),""))</x:f>
      </x:c>
      <x:c r="V37" t="str">
        <x:f>IF(OR($F37="",$G37=""),"",IF(AND($F37&lt;=V$9+6,$G37&gt;=V$9),IF($M37="Yes","◆","■"),""))</x:f>
      </x:c>
      <x:c r="W37" t="str">
        <x:f>IF(OR($F37="",$G37=""),"",IF(AND($F37&lt;=W$9+6,$G37&gt;=W$9),IF($M37="Yes","◆","■"),""))</x:f>
      </x:c>
      <x:c r="X37" t="str">
        <x:f>IF(OR($F37="",$G37=""),"",IF(AND($F37&lt;=X$9+6,$G37&gt;=X$9),IF($M37="Yes","◆","■"),""))</x:f>
      </x:c>
      <x:c r="Y37" t="str">
        <x:f>IF(OR($F37="",$G37=""),"",IF(AND($F37&lt;=Y$9+6,$G37&gt;=Y$9),IF($M37="Yes","◆","■"),""))</x:f>
      </x:c>
      <x:c r="Z37" t="str">
        <x:f>IF(OR($F37="",$G37=""),"",IF(AND($F37&lt;=Z$9+6,$G37&gt;=Z$9),IF($M37="Yes","◆","■"),""))</x:f>
      </x:c>
      <x:c r="AA37" t="str">
        <x:f>IF(OR($F37="",$G37=""),"",IF(AND($F37&lt;=AA$9+6,$G37&gt;=AA$9),IF($M37="Yes","◆","■"),""))</x:f>
      </x:c>
      <x:c r="AB37" t="str">
        <x:f>IF(OR($F37="",$G37=""),"",IF(AND($F37&lt;=AB$9+6,$G37&gt;=AB$9),IF($M37="Yes","◆","■"),""))</x:f>
      </x:c>
      <x:c r="AC37" t="str">
        <x:f>IF(OR($F37="",$G37=""),"",IF(AND($F37&lt;=AC$9+6,$G37&gt;=AC$9),IF($M37="Yes","◆","■"),""))</x:f>
      </x:c>
      <x:c r="AD37" t="str">
        <x:f>IF(OR($F37="",$G37=""),"",IF(AND($F37&lt;=AD$9+6,$G37&gt;=AD$9),IF($M37="Yes","◆","■"),""))</x:f>
      </x:c>
      <x:c r="AE37" t="str">
        <x:f>IF(OR($F37="",$G37=""),"",IF(AND($F37&lt;=AE$9+6,$G37&gt;=AE$9),IF($M37="Yes","◆","■"),""))</x:f>
      </x:c>
      <x:c r="AF37" t="str">
        <x:f>IF(OR($F37="",$G37=""),"",IF(AND($F37&lt;=AF$9+6,$G37&gt;=AF$9),IF($M37="Yes","◆","■"),""))</x:f>
      </x:c>
      <x:c r="AG37" t="str">
        <x:f>IF(OR($F37="",$G37=""),"",IF(AND($F37&lt;=AG$9+6,$G37&gt;=AG$9),IF($M37="Yes","◆","■"),""))</x:f>
      </x:c>
      <x:c r="AH37" t="str">
        <x:f>IF(OR($F37="",$G37=""),"",IF(AND($F37&lt;=AH$9+6,$G37&gt;=AH$9),IF($M37="Yes","◆","■"),""))</x:f>
      </x:c>
    </x:row>
    <x:row r="38">
      <x:c r="B38" t="str">
        <x:f>IF('Task List'!$B38="","",'Task List'!B38)</x:f>
      </x:c>
      <x:c r="C38" t="str">
        <x:f>IF('Task List'!$B38="","",'Task List'!C38)</x:f>
      </x:c>
      <x:c r="D38" t="str">
        <x:f>IF('Task List'!$B38="","",'Task List'!D38)</x:f>
      </x:c>
      <x:c r="E38" t="str">
        <x:f>IF('Task List'!$B38="","",'Task List'!F38)</x:f>
      </x:c>
      <x:c r="F38" t="str">
        <x:f>IF('Task List'!$B38="","",'Task List'!G38)</x:f>
      </x:c>
      <x:c r="G38" t="str">
        <x:f>IF('Task List'!$B38="","",'Task List'!H38)</x:f>
      </x:c>
      <x:c r="H38" t="str">
        <x:f>IF('Task List'!$B38="","",'Task List'!I38)</x:f>
      </x:c>
      <x:c r="I38" t="str">
        <x:f>IF('Task List'!$B38="","",'Task List'!J38)</x:f>
      </x:c>
      <x:c r="J38" t="str">
        <x:f>IF('Task List'!$B38="","",'Task List'!K38)</x:f>
      </x:c>
      <x:c r="K38" t="str">
        <x:f>IF('Task List'!$B38="","",'Task List'!L38)</x:f>
      </x:c>
      <x:c r="L38" t="str">
        <x:f>IF('Task List'!$B38="","",'Task List'!M38)</x:f>
      </x:c>
      <x:c r="M38" t="str">
        <x:f>IF('Task List'!$B38="","",'Task List'!N38)</x:f>
      </x:c>
      <x:c r="N38" t="str">
        <x:f>IF('Task List'!$B38="","",'Task List'!Q38)</x:f>
      </x:c>
      <x:c r="O38" t="str">
        <x:f>IF(OR($F38="",$G38=""),"",IF(AND($F38&lt;=O$9+6,$G38&gt;=O$9),IF($M38="Yes","◆","■"),""))</x:f>
      </x:c>
      <x:c r="P38" t="str">
        <x:f>IF(OR($F38="",$G38=""),"",IF(AND($F38&lt;=P$9+6,$G38&gt;=P$9),IF($M38="Yes","◆","■"),""))</x:f>
      </x:c>
      <x:c r="Q38" t="str">
        <x:f>IF(OR($F38="",$G38=""),"",IF(AND($F38&lt;=Q$9+6,$G38&gt;=Q$9),IF($M38="Yes","◆","■"),""))</x:f>
      </x:c>
      <x:c r="R38" t="str">
        <x:f>IF(OR($F38="",$G38=""),"",IF(AND($F38&lt;=R$9+6,$G38&gt;=R$9),IF($M38="Yes","◆","■"),""))</x:f>
      </x:c>
      <x:c r="S38" t="str">
        <x:f>IF(OR($F38="",$G38=""),"",IF(AND($F38&lt;=S$9+6,$G38&gt;=S$9),IF($M38="Yes","◆","■"),""))</x:f>
      </x:c>
      <x:c r="T38" t="str">
        <x:f>IF(OR($F38="",$G38=""),"",IF(AND($F38&lt;=T$9+6,$G38&gt;=T$9),IF($M38="Yes","◆","■"),""))</x:f>
      </x:c>
      <x:c r="U38" t="str">
        <x:f>IF(OR($F38="",$G38=""),"",IF(AND($F38&lt;=U$9+6,$G38&gt;=U$9),IF($M38="Yes","◆","■"),""))</x:f>
      </x:c>
      <x:c r="V38" t="str">
        <x:f>IF(OR($F38="",$G38=""),"",IF(AND($F38&lt;=V$9+6,$G38&gt;=V$9),IF($M38="Yes","◆","■"),""))</x:f>
      </x:c>
      <x:c r="W38" t="str">
        <x:f>IF(OR($F38="",$G38=""),"",IF(AND($F38&lt;=W$9+6,$G38&gt;=W$9),IF($M38="Yes","◆","■"),""))</x:f>
      </x:c>
      <x:c r="X38" t="str">
        <x:f>IF(OR($F38="",$G38=""),"",IF(AND($F38&lt;=X$9+6,$G38&gt;=X$9),IF($M38="Yes","◆","■"),""))</x:f>
      </x:c>
      <x:c r="Y38" t="str">
        <x:f>IF(OR($F38="",$G38=""),"",IF(AND($F38&lt;=Y$9+6,$G38&gt;=Y$9),IF($M38="Yes","◆","■"),""))</x:f>
      </x:c>
      <x:c r="Z38" t="str">
        <x:f>IF(OR($F38="",$G38=""),"",IF(AND($F38&lt;=Z$9+6,$G38&gt;=Z$9),IF($M38="Yes","◆","■"),""))</x:f>
      </x:c>
      <x:c r="AA38" t="str">
        <x:f>IF(OR($F38="",$G38=""),"",IF(AND($F38&lt;=AA$9+6,$G38&gt;=AA$9),IF($M38="Yes","◆","■"),""))</x:f>
      </x:c>
      <x:c r="AB38" t="str">
        <x:f>IF(OR($F38="",$G38=""),"",IF(AND($F38&lt;=AB$9+6,$G38&gt;=AB$9),IF($M38="Yes","◆","■"),""))</x:f>
      </x:c>
      <x:c r="AC38" t="str">
        <x:f>IF(OR($F38="",$G38=""),"",IF(AND($F38&lt;=AC$9+6,$G38&gt;=AC$9),IF($M38="Yes","◆","■"),""))</x:f>
      </x:c>
      <x:c r="AD38" t="str">
        <x:f>IF(OR($F38="",$G38=""),"",IF(AND($F38&lt;=AD$9+6,$G38&gt;=AD$9),IF($M38="Yes","◆","■"),""))</x:f>
      </x:c>
      <x:c r="AE38" t="str">
        <x:f>IF(OR($F38="",$G38=""),"",IF(AND($F38&lt;=AE$9+6,$G38&gt;=AE$9),IF($M38="Yes","◆","■"),""))</x:f>
      </x:c>
      <x:c r="AF38" t="str">
        <x:f>IF(OR($F38="",$G38=""),"",IF(AND($F38&lt;=AF$9+6,$G38&gt;=AF$9),IF($M38="Yes","◆","■"),""))</x:f>
      </x:c>
      <x:c r="AG38" t="str">
        <x:f>IF(OR($F38="",$G38=""),"",IF(AND($F38&lt;=AG$9+6,$G38&gt;=AG$9),IF($M38="Yes","◆","■"),""))</x:f>
      </x:c>
      <x:c r="AH38" t="str">
        <x:f>IF(OR($F38="",$G38=""),"",IF(AND($F38&lt;=AH$9+6,$G38&gt;=AH$9),IF($M38="Yes","◆","■"),""))</x:f>
      </x:c>
    </x:row>
    <x:row r="39">
      <x:c r="B39" t="str">
        <x:f>IF('Task List'!$B39="","",'Task List'!B39)</x:f>
      </x:c>
      <x:c r="C39" t="str">
        <x:f>IF('Task List'!$B39="","",'Task List'!C39)</x:f>
      </x:c>
      <x:c r="D39" t="str">
        <x:f>IF('Task List'!$B39="","",'Task List'!D39)</x:f>
      </x:c>
      <x:c r="E39" t="str">
        <x:f>IF('Task List'!$B39="","",'Task List'!F39)</x:f>
      </x:c>
      <x:c r="F39" t="str">
        <x:f>IF('Task List'!$B39="","",'Task List'!G39)</x:f>
      </x:c>
      <x:c r="G39" t="str">
        <x:f>IF('Task List'!$B39="","",'Task List'!H39)</x:f>
      </x:c>
      <x:c r="H39" t="str">
        <x:f>IF('Task List'!$B39="","",'Task List'!I39)</x:f>
      </x:c>
      <x:c r="I39" t="str">
        <x:f>IF('Task List'!$B39="","",'Task List'!J39)</x:f>
      </x:c>
      <x:c r="J39" t="str">
        <x:f>IF('Task List'!$B39="","",'Task List'!K39)</x:f>
      </x:c>
      <x:c r="K39" t="str">
        <x:f>IF('Task List'!$B39="","",'Task List'!L39)</x:f>
      </x:c>
      <x:c r="L39" t="str">
        <x:f>IF('Task List'!$B39="","",'Task List'!M39)</x:f>
      </x:c>
      <x:c r="M39" t="str">
        <x:f>IF('Task List'!$B39="","",'Task List'!N39)</x:f>
      </x:c>
      <x:c r="N39" t="str">
        <x:f>IF('Task List'!$B39="","",'Task List'!Q39)</x:f>
      </x:c>
      <x:c r="O39" t="str">
        <x:f>IF(OR($F39="",$G39=""),"",IF(AND($F39&lt;=O$9+6,$G39&gt;=O$9),IF($M39="Yes","◆","■"),""))</x:f>
      </x:c>
      <x:c r="P39" t="str">
        <x:f>IF(OR($F39="",$G39=""),"",IF(AND($F39&lt;=P$9+6,$G39&gt;=P$9),IF($M39="Yes","◆","■"),""))</x:f>
      </x:c>
      <x:c r="Q39" t="str">
        <x:f>IF(OR($F39="",$G39=""),"",IF(AND($F39&lt;=Q$9+6,$G39&gt;=Q$9),IF($M39="Yes","◆","■"),""))</x:f>
      </x:c>
      <x:c r="R39" t="str">
        <x:f>IF(OR($F39="",$G39=""),"",IF(AND($F39&lt;=R$9+6,$G39&gt;=R$9),IF($M39="Yes","◆","■"),""))</x:f>
      </x:c>
      <x:c r="S39" t="str">
        <x:f>IF(OR($F39="",$G39=""),"",IF(AND($F39&lt;=S$9+6,$G39&gt;=S$9),IF($M39="Yes","◆","■"),""))</x:f>
      </x:c>
      <x:c r="T39" t="str">
        <x:f>IF(OR($F39="",$G39=""),"",IF(AND($F39&lt;=T$9+6,$G39&gt;=T$9),IF($M39="Yes","◆","■"),""))</x:f>
      </x:c>
      <x:c r="U39" t="str">
        <x:f>IF(OR($F39="",$G39=""),"",IF(AND($F39&lt;=U$9+6,$G39&gt;=U$9),IF($M39="Yes","◆","■"),""))</x:f>
      </x:c>
      <x:c r="V39" t="str">
        <x:f>IF(OR($F39="",$G39=""),"",IF(AND($F39&lt;=V$9+6,$G39&gt;=V$9),IF($M39="Yes","◆","■"),""))</x:f>
      </x:c>
      <x:c r="W39" t="str">
        <x:f>IF(OR($F39="",$G39=""),"",IF(AND($F39&lt;=W$9+6,$G39&gt;=W$9),IF($M39="Yes","◆","■"),""))</x:f>
      </x:c>
      <x:c r="X39" t="str">
        <x:f>IF(OR($F39="",$G39=""),"",IF(AND($F39&lt;=X$9+6,$G39&gt;=X$9),IF($M39="Yes","◆","■"),""))</x:f>
      </x:c>
      <x:c r="Y39" t="str">
        <x:f>IF(OR($F39="",$G39=""),"",IF(AND($F39&lt;=Y$9+6,$G39&gt;=Y$9),IF($M39="Yes","◆","■"),""))</x:f>
      </x:c>
      <x:c r="Z39" t="str">
        <x:f>IF(OR($F39="",$G39=""),"",IF(AND($F39&lt;=Z$9+6,$G39&gt;=Z$9),IF($M39="Yes","◆","■"),""))</x:f>
      </x:c>
      <x:c r="AA39" t="str">
        <x:f>IF(OR($F39="",$G39=""),"",IF(AND($F39&lt;=AA$9+6,$G39&gt;=AA$9),IF($M39="Yes","◆","■"),""))</x:f>
      </x:c>
      <x:c r="AB39" t="str">
        <x:f>IF(OR($F39="",$G39=""),"",IF(AND($F39&lt;=AB$9+6,$G39&gt;=AB$9),IF($M39="Yes","◆","■"),""))</x:f>
      </x:c>
      <x:c r="AC39" t="str">
        <x:f>IF(OR($F39="",$G39=""),"",IF(AND($F39&lt;=AC$9+6,$G39&gt;=AC$9),IF($M39="Yes","◆","■"),""))</x:f>
      </x:c>
      <x:c r="AD39" t="str">
        <x:f>IF(OR($F39="",$G39=""),"",IF(AND($F39&lt;=AD$9+6,$G39&gt;=AD$9),IF($M39="Yes","◆","■"),""))</x:f>
      </x:c>
      <x:c r="AE39" t="str">
        <x:f>IF(OR($F39="",$G39=""),"",IF(AND($F39&lt;=AE$9+6,$G39&gt;=AE$9),IF($M39="Yes","◆","■"),""))</x:f>
      </x:c>
      <x:c r="AF39" t="str">
        <x:f>IF(OR($F39="",$G39=""),"",IF(AND($F39&lt;=AF$9+6,$G39&gt;=AF$9),IF($M39="Yes","◆","■"),""))</x:f>
      </x:c>
      <x:c r="AG39" t="str">
        <x:f>IF(OR($F39="",$G39=""),"",IF(AND($F39&lt;=AG$9+6,$G39&gt;=AG$9),IF($M39="Yes","◆","■"),""))</x:f>
      </x:c>
      <x:c r="AH39" t="str">
        <x:f>IF(OR($F39="",$G39=""),"",IF(AND($F39&lt;=AH$9+6,$G39&gt;=AH$9),IF($M39="Yes","◆","■"),""))</x:f>
      </x:c>
    </x:row>
    <x:row r="40">
      <x:c r="B40" t="str">
        <x:f>IF('Task List'!$B40="","",'Task List'!B40)</x:f>
      </x:c>
      <x:c r="C40" t="str">
        <x:f>IF('Task List'!$B40="","",'Task List'!C40)</x:f>
      </x:c>
      <x:c r="D40" t="str">
        <x:f>IF('Task List'!$B40="","",'Task List'!D40)</x:f>
      </x:c>
      <x:c r="E40" t="str">
        <x:f>IF('Task List'!$B40="","",'Task List'!F40)</x:f>
      </x:c>
      <x:c r="F40" t="str">
        <x:f>IF('Task List'!$B40="","",'Task List'!G40)</x:f>
      </x:c>
      <x:c r="G40" t="str">
        <x:f>IF('Task List'!$B40="","",'Task List'!H40)</x:f>
      </x:c>
      <x:c r="H40" t="str">
        <x:f>IF('Task List'!$B40="","",'Task List'!I40)</x:f>
      </x:c>
      <x:c r="I40" t="str">
        <x:f>IF('Task List'!$B40="","",'Task List'!J40)</x:f>
      </x:c>
      <x:c r="J40" t="str">
        <x:f>IF('Task List'!$B40="","",'Task List'!K40)</x:f>
      </x:c>
      <x:c r="K40" t="str">
        <x:f>IF('Task List'!$B40="","",'Task List'!L40)</x:f>
      </x:c>
      <x:c r="L40" t="str">
        <x:f>IF('Task List'!$B40="","",'Task List'!M40)</x:f>
      </x:c>
      <x:c r="M40" t="str">
        <x:f>IF('Task List'!$B40="","",'Task List'!N40)</x:f>
      </x:c>
      <x:c r="N40" t="str">
        <x:f>IF('Task List'!$B40="","",'Task List'!Q40)</x:f>
      </x:c>
      <x:c r="O40" t="str">
        <x:f>IF(OR($F40="",$G40=""),"",IF(AND($F40&lt;=O$9+6,$G40&gt;=O$9),IF($M40="Yes","◆","■"),""))</x:f>
      </x:c>
      <x:c r="P40" t="str">
        <x:f>IF(OR($F40="",$G40=""),"",IF(AND($F40&lt;=P$9+6,$G40&gt;=P$9),IF($M40="Yes","◆","■"),""))</x:f>
      </x:c>
      <x:c r="Q40" t="str">
        <x:f>IF(OR($F40="",$G40=""),"",IF(AND($F40&lt;=Q$9+6,$G40&gt;=Q$9),IF($M40="Yes","◆","■"),""))</x:f>
      </x:c>
      <x:c r="R40" t="str">
        <x:f>IF(OR($F40="",$G40=""),"",IF(AND($F40&lt;=R$9+6,$G40&gt;=R$9),IF($M40="Yes","◆","■"),""))</x:f>
      </x:c>
      <x:c r="S40" t="str">
        <x:f>IF(OR($F40="",$G40=""),"",IF(AND($F40&lt;=S$9+6,$G40&gt;=S$9),IF($M40="Yes","◆","■"),""))</x:f>
      </x:c>
      <x:c r="T40" t="str">
        <x:f>IF(OR($F40="",$G40=""),"",IF(AND($F40&lt;=T$9+6,$G40&gt;=T$9),IF($M40="Yes","◆","■"),""))</x:f>
      </x:c>
      <x:c r="U40" t="str">
        <x:f>IF(OR($F40="",$G40=""),"",IF(AND($F40&lt;=U$9+6,$G40&gt;=U$9),IF($M40="Yes","◆","■"),""))</x:f>
      </x:c>
      <x:c r="V40" t="str">
        <x:f>IF(OR($F40="",$G40=""),"",IF(AND($F40&lt;=V$9+6,$G40&gt;=V$9),IF($M40="Yes","◆","■"),""))</x:f>
      </x:c>
      <x:c r="W40" t="str">
        <x:f>IF(OR($F40="",$G40=""),"",IF(AND($F40&lt;=W$9+6,$G40&gt;=W$9),IF($M40="Yes","◆","■"),""))</x:f>
      </x:c>
      <x:c r="X40" t="str">
        <x:f>IF(OR($F40="",$G40=""),"",IF(AND($F40&lt;=X$9+6,$G40&gt;=X$9),IF($M40="Yes","◆","■"),""))</x:f>
      </x:c>
      <x:c r="Y40" t="str">
        <x:f>IF(OR($F40="",$G40=""),"",IF(AND($F40&lt;=Y$9+6,$G40&gt;=Y$9),IF($M40="Yes","◆","■"),""))</x:f>
      </x:c>
      <x:c r="Z40" t="str">
        <x:f>IF(OR($F40="",$G40=""),"",IF(AND($F40&lt;=Z$9+6,$G40&gt;=Z$9),IF($M40="Yes","◆","■"),""))</x:f>
      </x:c>
      <x:c r="AA40" t="str">
        <x:f>IF(OR($F40="",$G40=""),"",IF(AND($F40&lt;=AA$9+6,$G40&gt;=AA$9),IF($M40="Yes","◆","■"),""))</x:f>
      </x:c>
      <x:c r="AB40" t="str">
        <x:f>IF(OR($F40="",$G40=""),"",IF(AND($F40&lt;=AB$9+6,$G40&gt;=AB$9),IF($M40="Yes","◆","■"),""))</x:f>
      </x:c>
      <x:c r="AC40" t="str">
        <x:f>IF(OR($F40="",$G40=""),"",IF(AND($F40&lt;=AC$9+6,$G40&gt;=AC$9),IF($M40="Yes","◆","■"),""))</x:f>
      </x:c>
      <x:c r="AD40" t="str">
        <x:f>IF(OR($F40="",$G40=""),"",IF(AND($F40&lt;=AD$9+6,$G40&gt;=AD$9),IF($M40="Yes","◆","■"),""))</x:f>
      </x:c>
      <x:c r="AE40" t="str">
        <x:f>IF(OR($F40="",$G40=""),"",IF(AND($F40&lt;=AE$9+6,$G40&gt;=AE$9),IF($M40="Yes","◆","■"),""))</x:f>
      </x:c>
      <x:c r="AF40" t="str">
        <x:f>IF(OR($F40="",$G40=""),"",IF(AND($F40&lt;=AF$9+6,$G40&gt;=AF$9),IF($M40="Yes","◆","■"),""))</x:f>
      </x:c>
      <x:c r="AG40" t="str">
        <x:f>IF(OR($F40="",$G40=""),"",IF(AND($F40&lt;=AG$9+6,$G40&gt;=AG$9),IF($M40="Yes","◆","■"),""))</x:f>
      </x:c>
      <x:c r="AH40" t="str">
        <x:f>IF(OR($F40="",$G40=""),"",IF(AND($F40&lt;=AH$9+6,$G40&gt;=AH$9),IF($M40="Yes","◆","■"),""))</x:f>
      </x:c>
    </x:row>
    <x:row r="41">
      <x:c r="B41" t="str">
        <x:f>IF('Task List'!$B41="","",'Task List'!B41)</x:f>
      </x:c>
      <x:c r="C41" t="str">
        <x:f>IF('Task List'!$B41="","",'Task List'!C41)</x:f>
      </x:c>
      <x:c r="D41" t="str">
        <x:f>IF('Task List'!$B41="","",'Task List'!D41)</x:f>
      </x:c>
      <x:c r="E41" t="str">
        <x:f>IF('Task List'!$B41="","",'Task List'!F41)</x:f>
      </x:c>
      <x:c r="F41" t="str">
        <x:f>IF('Task List'!$B41="","",'Task List'!G41)</x:f>
      </x:c>
      <x:c r="G41" t="str">
        <x:f>IF('Task List'!$B41="","",'Task List'!H41)</x:f>
      </x:c>
      <x:c r="H41" t="str">
        <x:f>IF('Task List'!$B41="","",'Task List'!I41)</x:f>
      </x:c>
      <x:c r="I41" t="str">
        <x:f>IF('Task List'!$B41="","",'Task List'!J41)</x:f>
      </x:c>
      <x:c r="J41" t="str">
        <x:f>IF('Task List'!$B41="","",'Task List'!K41)</x:f>
      </x:c>
      <x:c r="K41" t="str">
        <x:f>IF('Task List'!$B41="","",'Task List'!L41)</x:f>
      </x:c>
      <x:c r="L41" t="str">
        <x:f>IF('Task List'!$B41="","",'Task List'!M41)</x:f>
      </x:c>
      <x:c r="M41" t="str">
        <x:f>IF('Task List'!$B41="","",'Task List'!N41)</x:f>
      </x:c>
      <x:c r="N41" t="str">
        <x:f>IF('Task List'!$B41="","",'Task List'!Q41)</x:f>
      </x:c>
      <x:c r="O41" t="str">
        <x:f>IF(OR($F41="",$G41=""),"",IF(AND($F41&lt;=O$9+6,$G41&gt;=O$9),IF($M41="Yes","◆","■"),""))</x:f>
      </x:c>
      <x:c r="P41" t="str">
        <x:f>IF(OR($F41="",$G41=""),"",IF(AND($F41&lt;=P$9+6,$G41&gt;=P$9),IF($M41="Yes","◆","■"),""))</x:f>
      </x:c>
      <x:c r="Q41" t="str">
        <x:f>IF(OR($F41="",$G41=""),"",IF(AND($F41&lt;=Q$9+6,$G41&gt;=Q$9),IF($M41="Yes","◆","■"),""))</x:f>
      </x:c>
      <x:c r="R41" t="str">
        <x:f>IF(OR($F41="",$G41=""),"",IF(AND($F41&lt;=R$9+6,$G41&gt;=R$9),IF($M41="Yes","◆","■"),""))</x:f>
      </x:c>
      <x:c r="S41" t="str">
        <x:f>IF(OR($F41="",$G41=""),"",IF(AND($F41&lt;=S$9+6,$G41&gt;=S$9),IF($M41="Yes","◆","■"),""))</x:f>
      </x:c>
      <x:c r="T41" t="str">
        <x:f>IF(OR($F41="",$G41=""),"",IF(AND($F41&lt;=T$9+6,$G41&gt;=T$9),IF($M41="Yes","◆","■"),""))</x:f>
      </x:c>
      <x:c r="U41" t="str">
        <x:f>IF(OR($F41="",$G41=""),"",IF(AND($F41&lt;=U$9+6,$G41&gt;=U$9),IF($M41="Yes","◆","■"),""))</x:f>
      </x:c>
      <x:c r="V41" t="str">
        <x:f>IF(OR($F41="",$G41=""),"",IF(AND($F41&lt;=V$9+6,$G41&gt;=V$9),IF($M41="Yes","◆","■"),""))</x:f>
      </x:c>
      <x:c r="W41" t="str">
        <x:f>IF(OR($F41="",$G41=""),"",IF(AND($F41&lt;=W$9+6,$G41&gt;=W$9),IF($M41="Yes","◆","■"),""))</x:f>
      </x:c>
      <x:c r="X41" t="str">
        <x:f>IF(OR($F41="",$G41=""),"",IF(AND($F41&lt;=X$9+6,$G41&gt;=X$9),IF($M41="Yes","◆","■"),""))</x:f>
      </x:c>
      <x:c r="Y41" t="str">
        <x:f>IF(OR($F41="",$G41=""),"",IF(AND($F41&lt;=Y$9+6,$G41&gt;=Y$9),IF($M41="Yes","◆","■"),""))</x:f>
      </x:c>
      <x:c r="Z41" t="str">
        <x:f>IF(OR($F41="",$G41=""),"",IF(AND($F41&lt;=Z$9+6,$G41&gt;=Z$9),IF($M41="Yes","◆","■"),""))</x:f>
      </x:c>
      <x:c r="AA41" t="str">
        <x:f>IF(OR($F41="",$G41=""),"",IF(AND($F41&lt;=AA$9+6,$G41&gt;=AA$9),IF($M41="Yes","◆","■"),""))</x:f>
      </x:c>
      <x:c r="AB41" t="str">
        <x:f>IF(OR($F41="",$G41=""),"",IF(AND($F41&lt;=AB$9+6,$G41&gt;=AB$9),IF($M41="Yes","◆","■"),""))</x:f>
      </x:c>
      <x:c r="AC41" t="str">
        <x:f>IF(OR($F41="",$G41=""),"",IF(AND($F41&lt;=AC$9+6,$G41&gt;=AC$9),IF($M41="Yes","◆","■"),""))</x:f>
      </x:c>
      <x:c r="AD41" t="str">
        <x:f>IF(OR($F41="",$G41=""),"",IF(AND($F41&lt;=AD$9+6,$G41&gt;=AD$9),IF($M41="Yes","◆","■"),""))</x:f>
      </x:c>
      <x:c r="AE41" t="str">
        <x:f>IF(OR($F41="",$G41=""),"",IF(AND($F41&lt;=AE$9+6,$G41&gt;=AE$9),IF($M41="Yes","◆","■"),""))</x:f>
      </x:c>
      <x:c r="AF41" t="str">
        <x:f>IF(OR($F41="",$G41=""),"",IF(AND($F41&lt;=AF$9+6,$G41&gt;=AF$9),IF($M41="Yes","◆","■"),""))</x:f>
      </x:c>
      <x:c r="AG41" t="str">
        <x:f>IF(OR($F41="",$G41=""),"",IF(AND($F41&lt;=AG$9+6,$G41&gt;=AG$9),IF($M41="Yes","◆","■"),""))</x:f>
      </x:c>
      <x:c r="AH41" t="str">
        <x:f>IF(OR($F41="",$G41=""),"",IF(AND($F41&lt;=AH$9+6,$G41&gt;=AH$9),IF($M41="Yes","◆","■"),""))</x:f>
      </x:c>
    </x:row>
    <x:row r="42">
      <x:c r="B42" t="str">
        <x:f>IF('Task List'!$B42="","",'Task List'!B42)</x:f>
      </x:c>
      <x:c r="C42" t="str">
        <x:f>IF('Task List'!$B42="","",'Task List'!C42)</x:f>
      </x:c>
      <x:c r="D42" t="str">
        <x:f>IF('Task List'!$B42="","",'Task List'!D42)</x:f>
      </x:c>
      <x:c r="E42" t="str">
        <x:f>IF('Task List'!$B42="","",'Task List'!F42)</x:f>
      </x:c>
      <x:c r="F42" t="str">
        <x:f>IF('Task List'!$B42="","",'Task List'!G42)</x:f>
      </x:c>
      <x:c r="G42" t="str">
        <x:f>IF('Task List'!$B42="","",'Task List'!H42)</x:f>
      </x:c>
      <x:c r="H42" t="str">
        <x:f>IF('Task List'!$B42="","",'Task List'!I42)</x:f>
      </x:c>
      <x:c r="I42" t="str">
        <x:f>IF('Task List'!$B42="","",'Task List'!J42)</x:f>
      </x:c>
      <x:c r="J42" t="str">
        <x:f>IF('Task List'!$B42="","",'Task List'!K42)</x:f>
      </x:c>
      <x:c r="K42" t="str">
        <x:f>IF('Task List'!$B42="","",'Task List'!L42)</x:f>
      </x:c>
      <x:c r="L42" t="str">
        <x:f>IF('Task List'!$B42="","",'Task List'!M42)</x:f>
      </x:c>
      <x:c r="M42" t="str">
        <x:f>IF('Task List'!$B42="","",'Task List'!N42)</x:f>
      </x:c>
      <x:c r="N42" t="str">
        <x:f>IF('Task List'!$B42="","",'Task List'!Q42)</x:f>
      </x:c>
      <x:c r="O42" t="str">
        <x:f>IF(OR($F42="",$G42=""),"",IF(AND($F42&lt;=O$9+6,$G42&gt;=O$9),IF($M42="Yes","◆","■"),""))</x:f>
      </x:c>
      <x:c r="P42" t="str">
        <x:f>IF(OR($F42="",$G42=""),"",IF(AND($F42&lt;=P$9+6,$G42&gt;=P$9),IF($M42="Yes","◆","■"),""))</x:f>
      </x:c>
      <x:c r="Q42" t="str">
        <x:f>IF(OR($F42="",$G42=""),"",IF(AND($F42&lt;=Q$9+6,$G42&gt;=Q$9),IF($M42="Yes","◆","■"),""))</x:f>
      </x:c>
      <x:c r="R42" t="str">
        <x:f>IF(OR($F42="",$G42=""),"",IF(AND($F42&lt;=R$9+6,$G42&gt;=R$9),IF($M42="Yes","◆","■"),""))</x:f>
      </x:c>
      <x:c r="S42" t="str">
        <x:f>IF(OR($F42="",$G42=""),"",IF(AND($F42&lt;=S$9+6,$G42&gt;=S$9),IF($M42="Yes","◆","■"),""))</x:f>
      </x:c>
      <x:c r="T42" t="str">
        <x:f>IF(OR($F42="",$G42=""),"",IF(AND($F42&lt;=T$9+6,$G42&gt;=T$9),IF($M42="Yes","◆","■"),""))</x:f>
      </x:c>
      <x:c r="U42" t="str">
        <x:f>IF(OR($F42="",$G42=""),"",IF(AND($F42&lt;=U$9+6,$G42&gt;=U$9),IF($M42="Yes","◆","■"),""))</x:f>
      </x:c>
      <x:c r="V42" t="str">
        <x:f>IF(OR($F42="",$G42=""),"",IF(AND($F42&lt;=V$9+6,$G42&gt;=V$9),IF($M42="Yes","◆","■"),""))</x:f>
      </x:c>
      <x:c r="W42" t="str">
        <x:f>IF(OR($F42="",$G42=""),"",IF(AND($F42&lt;=W$9+6,$G42&gt;=W$9),IF($M42="Yes","◆","■"),""))</x:f>
      </x:c>
      <x:c r="X42" t="str">
        <x:f>IF(OR($F42="",$G42=""),"",IF(AND($F42&lt;=X$9+6,$G42&gt;=X$9),IF($M42="Yes","◆","■"),""))</x:f>
      </x:c>
      <x:c r="Y42" t="str">
        <x:f>IF(OR($F42="",$G42=""),"",IF(AND($F42&lt;=Y$9+6,$G42&gt;=Y$9),IF($M42="Yes","◆","■"),""))</x:f>
      </x:c>
      <x:c r="Z42" t="str">
        <x:f>IF(OR($F42="",$G42=""),"",IF(AND($F42&lt;=Z$9+6,$G42&gt;=Z$9),IF($M42="Yes","◆","■"),""))</x:f>
      </x:c>
      <x:c r="AA42" t="str">
        <x:f>IF(OR($F42="",$G42=""),"",IF(AND($F42&lt;=AA$9+6,$G42&gt;=AA$9),IF($M42="Yes","◆","■"),""))</x:f>
      </x:c>
      <x:c r="AB42" t="str">
        <x:f>IF(OR($F42="",$G42=""),"",IF(AND($F42&lt;=AB$9+6,$G42&gt;=AB$9),IF($M42="Yes","◆","■"),""))</x:f>
      </x:c>
      <x:c r="AC42" t="str">
        <x:f>IF(OR($F42="",$G42=""),"",IF(AND($F42&lt;=AC$9+6,$G42&gt;=AC$9),IF($M42="Yes","◆","■"),""))</x:f>
      </x:c>
      <x:c r="AD42" t="str">
        <x:f>IF(OR($F42="",$G42=""),"",IF(AND($F42&lt;=AD$9+6,$G42&gt;=AD$9),IF($M42="Yes","◆","■"),""))</x:f>
      </x:c>
      <x:c r="AE42" t="str">
        <x:f>IF(OR($F42="",$G42=""),"",IF(AND($F42&lt;=AE$9+6,$G42&gt;=AE$9),IF($M42="Yes","◆","■"),""))</x:f>
      </x:c>
      <x:c r="AF42" t="str">
        <x:f>IF(OR($F42="",$G42=""),"",IF(AND($F42&lt;=AF$9+6,$G42&gt;=AF$9),IF($M42="Yes","◆","■"),""))</x:f>
      </x:c>
      <x:c r="AG42" t="str">
        <x:f>IF(OR($F42="",$G42=""),"",IF(AND($F42&lt;=AG$9+6,$G42&gt;=AG$9),IF($M42="Yes","◆","■"),""))</x:f>
      </x:c>
      <x:c r="AH42" t="str">
        <x:f>IF(OR($F42="",$G42=""),"",IF(AND($F42&lt;=AH$9+6,$G42&gt;=AH$9),IF($M42="Yes","◆","■"),""))</x:f>
      </x:c>
    </x:row>
    <x:row r="43">
      <x:c r="B43" t="str">
        <x:f>IF('Task List'!$B43="","",'Task List'!B43)</x:f>
      </x:c>
      <x:c r="C43" t="str">
        <x:f>IF('Task List'!$B43="","",'Task List'!C43)</x:f>
      </x:c>
      <x:c r="D43" t="str">
        <x:f>IF('Task List'!$B43="","",'Task List'!D43)</x:f>
      </x:c>
      <x:c r="E43" t="str">
        <x:f>IF('Task List'!$B43="","",'Task List'!F43)</x:f>
      </x:c>
      <x:c r="F43" t="str">
        <x:f>IF('Task List'!$B43="","",'Task List'!G43)</x:f>
      </x:c>
      <x:c r="G43" t="str">
        <x:f>IF('Task List'!$B43="","",'Task List'!H43)</x:f>
      </x:c>
      <x:c r="H43" t="str">
        <x:f>IF('Task List'!$B43="","",'Task List'!I43)</x:f>
      </x:c>
      <x:c r="I43" t="str">
        <x:f>IF('Task List'!$B43="","",'Task List'!J43)</x:f>
      </x:c>
      <x:c r="J43" t="str">
        <x:f>IF('Task List'!$B43="","",'Task List'!K43)</x:f>
      </x:c>
      <x:c r="K43" t="str">
        <x:f>IF('Task List'!$B43="","",'Task List'!L43)</x:f>
      </x:c>
      <x:c r="L43" t="str">
        <x:f>IF('Task List'!$B43="","",'Task List'!M43)</x:f>
      </x:c>
      <x:c r="M43" t="str">
        <x:f>IF('Task List'!$B43="","",'Task List'!N43)</x:f>
      </x:c>
      <x:c r="N43" t="str">
        <x:f>IF('Task List'!$B43="","",'Task List'!Q43)</x:f>
      </x:c>
      <x:c r="O43" t="str">
        <x:f>IF(OR($F43="",$G43=""),"",IF(AND($F43&lt;=O$9+6,$G43&gt;=O$9),IF($M43="Yes","◆","■"),""))</x:f>
      </x:c>
      <x:c r="P43" t="str">
        <x:f>IF(OR($F43="",$G43=""),"",IF(AND($F43&lt;=P$9+6,$G43&gt;=P$9),IF($M43="Yes","◆","■"),""))</x:f>
      </x:c>
      <x:c r="Q43" t="str">
        <x:f>IF(OR($F43="",$G43=""),"",IF(AND($F43&lt;=Q$9+6,$G43&gt;=Q$9),IF($M43="Yes","◆","■"),""))</x:f>
      </x:c>
      <x:c r="R43" t="str">
        <x:f>IF(OR($F43="",$G43=""),"",IF(AND($F43&lt;=R$9+6,$G43&gt;=R$9),IF($M43="Yes","◆","■"),""))</x:f>
      </x:c>
      <x:c r="S43" t="str">
        <x:f>IF(OR($F43="",$G43=""),"",IF(AND($F43&lt;=S$9+6,$G43&gt;=S$9),IF($M43="Yes","◆","■"),""))</x:f>
      </x:c>
      <x:c r="T43" t="str">
        <x:f>IF(OR($F43="",$G43=""),"",IF(AND($F43&lt;=T$9+6,$G43&gt;=T$9),IF($M43="Yes","◆","■"),""))</x:f>
      </x:c>
      <x:c r="U43" t="str">
        <x:f>IF(OR($F43="",$G43=""),"",IF(AND($F43&lt;=U$9+6,$G43&gt;=U$9),IF($M43="Yes","◆","■"),""))</x:f>
      </x:c>
      <x:c r="V43" t="str">
        <x:f>IF(OR($F43="",$G43=""),"",IF(AND($F43&lt;=V$9+6,$G43&gt;=V$9),IF($M43="Yes","◆","■"),""))</x:f>
      </x:c>
      <x:c r="W43" t="str">
        <x:f>IF(OR($F43="",$G43=""),"",IF(AND($F43&lt;=W$9+6,$G43&gt;=W$9),IF($M43="Yes","◆","■"),""))</x:f>
      </x:c>
      <x:c r="X43" t="str">
        <x:f>IF(OR($F43="",$G43=""),"",IF(AND($F43&lt;=X$9+6,$G43&gt;=X$9),IF($M43="Yes","◆","■"),""))</x:f>
      </x:c>
      <x:c r="Y43" t="str">
        <x:f>IF(OR($F43="",$G43=""),"",IF(AND($F43&lt;=Y$9+6,$G43&gt;=Y$9),IF($M43="Yes","◆","■"),""))</x:f>
      </x:c>
      <x:c r="Z43" t="str">
        <x:f>IF(OR($F43="",$G43=""),"",IF(AND($F43&lt;=Z$9+6,$G43&gt;=Z$9),IF($M43="Yes","◆","■"),""))</x:f>
      </x:c>
      <x:c r="AA43" t="str">
        <x:f>IF(OR($F43="",$G43=""),"",IF(AND($F43&lt;=AA$9+6,$G43&gt;=AA$9),IF($M43="Yes","◆","■"),""))</x:f>
      </x:c>
      <x:c r="AB43" t="str">
        <x:f>IF(OR($F43="",$G43=""),"",IF(AND($F43&lt;=AB$9+6,$G43&gt;=AB$9),IF($M43="Yes","◆","■"),""))</x:f>
      </x:c>
      <x:c r="AC43" t="str">
        <x:f>IF(OR($F43="",$G43=""),"",IF(AND($F43&lt;=AC$9+6,$G43&gt;=AC$9),IF($M43="Yes","◆","■"),""))</x:f>
      </x:c>
      <x:c r="AD43" t="str">
        <x:f>IF(OR($F43="",$G43=""),"",IF(AND($F43&lt;=AD$9+6,$G43&gt;=AD$9),IF($M43="Yes","◆","■"),""))</x:f>
      </x:c>
      <x:c r="AE43" t="str">
        <x:f>IF(OR($F43="",$G43=""),"",IF(AND($F43&lt;=AE$9+6,$G43&gt;=AE$9),IF($M43="Yes","◆","■"),""))</x:f>
      </x:c>
      <x:c r="AF43" t="str">
        <x:f>IF(OR($F43="",$G43=""),"",IF(AND($F43&lt;=AF$9+6,$G43&gt;=AF$9),IF($M43="Yes","◆","■"),""))</x:f>
      </x:c>
      <x:c r="AG43" t="str">
        <x:f>IF(OR($F43="",$G43=""),"",IF(AND($F43&lt;=AG$9+6,$G43&gt;=AG$9),IF($M43="Yes","◆","■"),""))</x:f>
      </x:c>
      <x:c r="AH43" t="str">
        <x:f>IF(OR($F43="",$G43=""),"",IF(AND($F43&lt;=AH$9+6,$G43&gt;=AH$9),IF($M43="Yes","◆","■"),""))</x:f>
      </x:c>
    </x:row>
    <x:row r="44">
      <x:c r="B44" t="str">
        <x:f>IF('Task List'!$B44="","",'Task List'!B44)</x:f>
      </x:c>
      <x:c r="C44" t="str">
        <x:f>IF('Task List'!$B44="","",'Task List'!C44)</x:f>
      </x:c>
      <x:c r="D44" t="str">
        <x:f>IF('Task List'!$B44="","",'Task List'!D44)</x:f>
      </x:c>
      <x:c r="E44" t="str">
        <x:f>IF('Task List'!$B44="","",'Task List'!F44)</x:f>
      </x:c>
      <x:c r="F44" t="str">
        <x:f>IF('Task List'!$B44="","",'Task List'!G44)</x:f>
      </x:c>
      <x:c r="G44" t="str">
        <x:f>IF('Task List'!$B44="","",'Task List'!H44)</x:f>
      </x:c>
      <x:c r="H44" t="str">
        <x:f>IF('Task List'!$B44="","",'Task List'!I44)</x:f>
      </x:c>
      <x:c r="I44" t="str">
        <x:f>IF('Task List'!$B44="","",'Task List'!J44)</x:f>
      </x:c>
      <x:c r="J44" t="str">
        <x:f>IF('Task List'!$B44="","",'Task List'!K44)</x:f>
      </x:c>
      <x:c r="K44" t="str">
        <x:f>IF('Task List'!$B44="","",'Task List'!L44)</x:f>
      </x:c>
      <x:c r="L44" t="str">
        <x:f>IF('Task List'!$B44="","",'Task List'!M44)</x:f>
      </x:c>
      <x:c r="M44" t="str">
        <x:f>IF('Task List'!$B44="","",'Task List'!N44)</x:f>
      </x:c>
      <x:c r="N44" t="str">
        <x:f>IF('Task List'!$B44="","",'Task List'!Q44)</x:f>
      </x:c>
      <x:c r="O44" t="str">
        <x:f>IF(OR($F44="",$G44=""),"",IF(AND($F44&lt;=O$9+6,$G44&gt;=O$9),IF($M44="Yes","◆","■"),""))</x:f>
      </x:c>
      <x:c r="P44" t="str">
        <x:f>IF(OR($F44="",$G44=""),"",IF(AND($F44&lt;=P$9+6,$G44&gt;=P$9),IF($M44="Yes","◆","■"),""))</x:f>
      </x:c>
      <x:c r="Q44" t="str">
        <x:f>IF(OR($F44="",$G44=""),"",IF(AND($F44&lt;=Q$9+6,$G44&gt;=Q$9),IF($M44="Yes","◆","■"),""))</x:f>
      </x:c>
      <x:c r="R44" t="str">
        <x:f>IF(OR($F44="",$G44=""),"",IF(AND($F44&lt;=R$9+6,$G44&gt;=R$9),IF($M44="Yes","◆","■"),""))</x:f>
      </x:c>
      <x:c r="S44" t="str">
        <x:f>IF(OR($F44="",$G44=""),"",IF(AND($F44&lt;=S$9+6,$G44&gt;=S$9),IF($M44="Yes","◆","■"),""))</x:f>
      </x:c>
      <x:c r="T44" t="str">
        <x:f>IF(OR($F44="",$G44=""),"",IF(AND($F44&lt;=T$9+6,$G44&gt;=T$9),IF($M44="Yes","◆","■"),""))</x:f>
      </x:c>
      <x:c r="U44" t="str">
        <x:f>IF(OR($F44="",$G44=""),"",IF(AND($F44&lt;=U$9+6,$G44&gt;=U$9),IF($M44="Yes","◆","■"),""))</x:f>
      </x:c>
      <x:c r="V44" t="str">
        <x:f>IF(OR($F44="",$G44=""),"",IF(AND($F44&lt;=V$9+6,$G44&gt;=V$9),IF($M44="Yes","◆","■"),""))</x:f>
      </x:c>
      <x:c r="W44" t="str">
        <x:f>IF(OR($F44="",$G44=""),"",IF(AND($F44&lt;=W$9+6,$G44&gt;=W$9),IF($M44="Yes","◆","■"),""))</x:f>
      </x:c>
      <x:c r="X44" t="str">
        <x:f>IF(OR($F44="",$G44=""),"",IF(AND($F44&lt;=X$9+6,$G44&gt;=X$9),IF($M44="Yes","◆","■"),""))</x:f>
      </x:c>
      <x:c r="Y44" t="str">
        <x:f>IF(OR($F44="",$G44=""),"",IF(AND($F44&lt;=Y$9+6,$G44&gt;=Y$9),IF($M44="Yes","◆","■"),""))</x:f>
      </x:c>
      <x:c r="Z44" t="str">
        <x:f>IF(OR($F44="",$G44=""),"",IF(AND($F44&lt;=Z$9+6,$G44&gt;=Z$9),IF($M44="Yes","◆","■"),""))</x:f>
      </x:c>
      <x:c r="AA44" t="str">
        <x:f>IF(OR($F44="",$G44=""),"",IF(AND($F44&lt;=AA$9+6,$G44&gt;=AA$9),IF($M44="Yes","◆","■"),""))</x:f>
      </x:c>
      <x:c r="AB44" t="str">
        <x:f>IF(OR($F44="",$G44=""),"",IF(AND($F44&lt;=AB$9+6,$G44&gt;=AB$9),IF($M44="Yes","◆","■"),""))</x:f>
      </x:c>
      <x:c r="AC44" t="str">
        <x:f>IF(OR($F44="",$G44=""),"",IF(AND($F44&lt;=AC$9+6,$G44&gt;=AC$9),IF($M44="Yes","◆","■"),""))</x:f>
      </x:c>
      <x:c r="AD44" t="str">
        <x:f>IF(OR($F44="",$G44=""),"",IF(AND($F44&lt;=AD$9+6,$G44&gt;=AD$9),IF($M44="Yes","◆","■"),""))</x:f>
      </x:c>
      <x:c r="AE44" t="str">
        <x:f>IF(OR($F44="",$G44=""),"",IF(AND($F44&lt;=AE$9+6,$G44&gt;=AE$9),IF($M44="Yes","◆","■"),""))</x:f>
      </x:c>
      <x:c r="AF44" t="str">
        <x:f>IF(OR($F44="",$G44=""),"",IF(AND($F44&lt;=AF$9+6,$G44&gt;=AF$9),IF($M44="Yes","◆","■"),""))</x:f>
      </x:c>
      <x:c r="AG44" t="str">
        <x:f>IF(OR($F44="",$G44=""),"",IF(AND($F44&lt;=AG$9+6,$G44&gt;=AG$9),IF($M44="Yes","◆","■"),""))</x:f>
      </x:c>
      <x:c r="AH44" t="str">
        <x:f>IF(OR($F44="",$G44=""),"",IF(AND($F44&lt;=AH$9+6,$G44&gt;=AH$9),IF($M44="Yes","◆","■"),""))</x:f>
      </x:c>
    </x:row>
    <x:row r="45">
      <x:c r="B45" t="str">
        <x:f>IF('Task List'!$B45="","",'Task List'!B45)</x:f>
      </x:c>
      <x:c r="C45" t="str">
        <x:f>IF('Task List'!$B45="","",'Task List'!C45)</x:f>
      </x:c>
      <x:c r="D45" t="str">
        <x:f>IF('Task List'!$B45="","",'Task List'!D45)</x:f>
      </x:c>
      <x:c r="E45" t="str">
        <x:f>IF('Task List'!$B45="","",'Task List'!F45)</x:f>
      </x:c>
      <x:c r="F45" t="str">
        <x:f>IF('Task List'!$B45="","",'Task List'!G45)</x:f>
      </x:c>
      <x:c r="G45" t="str">
        <x:f>IF('Task List'!$B45="","",'Task List'!H45)</x:f>
      </x:c>
      <x:c r="H45" t="str">
        <x:f>IF('Task List'!$B45="","",'Task List'!I45)</x:f>
      </x:c>
      <x:c r="I45" t="str">
        <x:f>IF('Task List'!$B45="","",'Task List'!J45)</x:f>
      </x:c>
      <x:c r="J45" t="str">
        <x:f>IF('Task List'!$B45="","",'Task List'!K45)</x:f>
      </x:c>
      <x:c r="K45" t="str">
        <x:f>IF('Task List'!$B45="","",'Task List'!L45)</x:f>
      </x:c>
      <x:c r="L45" t="str">
        <x:f>IF('Task List'!$B45="","",'Task List'!M45)</x:f>
      </x:c>
      <x:c r="M45" t="str">
        <x:f>IF('Task List'!$B45="","",'Task List'!N45)</x:f>
      </x:c>
      <x:c r="N45" t="str">
        <x:f>IF('Task List'!$B45="","",'Task List'!Q45)</x:f>
      </x:c>
      <x:c r="O45" t="str">
        <x:f>IF(OR($F45="",$G45=""),"",IF(AND($F45&lt;=O$9+6,$G45&gt;=O$9),IF($M45="Yes","◆","■"),""))</x:f>
      </x:c>
      <x:c r="P45" t="str">
        <x:f>IF(OR($F45="",$G45=""),"",IF(AND($F45&lt;=P$9+6,$G45&gt;=P$9),IF($M45="Yes","◆","■"),""))</x:f>
      </x:c>
      <x:c r="Q45" t="str">
        <x:f>IF(OR($F45="",$G45=""),"",IF(AND($F45&lt;=Q$9+6,$G45&gt;=Q$9),IF($M45="Yes","◆","■"),""))</x:f>
      </x:c>
      <x:c r="R45" t="str">
        <x:f>IF(OR($F45="",$G45=""),"",IF(AND($F45&lt;=R$9+6,$G45&gt;=R$9),IF($M45="Yes","◆","■"),""))</x:f>
      </x:c>
      <x:c r="S45" t="str">
        <x:f>IF(OR($F45="",$G45=""),"",IF(AND($F45&lt;=S$9+6,$G45&gt;=S$9),IF($M45="Yes","◆","■"),""))</x:f>
      </x:c>
      <x:c r="T45" t="str">
        <x:f>IF(OR($F45="",$G45=""),"",IF(AND($F45&lt;=T$9+6,$G45&gt;=T$9),IF($M45="Yes","◆","■"),""))</x:f>
      </x:c>
      <x:c r="U45" t="str">
        <x:f>IF(OR($F45="",$G45=""),"",IF(AND($F45&lt;=U$9+6,$G45&gt;=U$9),IF($M45="Yes","◆","■"),""))</x:f>
      </x:c>
      <x:c r="V45" t="str">
        <x:f>IF(OR($F45="",$G45=""),"",IF(AND($F45&lt;=V$9+6,$G45&gt;=V$9),IF($M45="Yes","◆","■"),""))</x:f>
      </x:c>
      <x:c r="W45" t="str">
        <x:f>IF(OR($F45="",$G45=""),"",IF(AND($F45&lt;=W$9+6,$G45&gt;=W$9),IF($M45="Yes","◆","■"),""))</x:f>
      </x:c>
      <x:c r="X45" t="str">
        <x:f>IF(OR($F45="",$G45=""),"",IF(AND($F45&lt;=X$9+6,$G45&gt;=X$9),IF($M45="Yes","◆","■"),""))</x:f>
      </x:c>
      <x:c r="Y45" t="str">
        <x:f>IF(OR($F45="",$G45=""),"",IF(AND($F45&lt;=Y$9+6,$G45&gt;=Y$9),IF($M45="Yes","◆","■"),""))</x:f>
      </x:c>
      <x:c r="Z45" t="str">
        <x:f>IF(OR($F45="",$G45=""),"",IF(AND($F45&lt;=Z$9+6,$G45&gt;=Z$9),IF($M45="Yes","◆","■"),""))</x:f>
      </x:c>
      <x:c r="AA45" t="str">
        <x:f>IF(OR($F45="",$G45=""),"",IF(AND($F45&lt;=AA$9+6,$G45&gt;=AA$9),IF($M45="Yes","◆","■"),""))</x:f>
      </x:c>
      <x:c r="AB45" t="str">
        <x:f>IF(OR($F45="",$G45=""),"",IF(AND($F45&lt;=AB$9+6,$G45&gt;=AB$9),IF($M45="Yes","◆","■"),""))</x:f>
      </x:c>
      <x:c r="AC45" t="str">
        <x:f>IF(OR($F45="",$G45=""),"",IF(AND($F45&lt;=AC$9+6,$G45&gt;=AC$9),IF($M45="Yes","◆","■"),""))</x:f>
      </x:c>
      <x:c r="AD45" t="str">
        <x:f>IF(OR($F45="",$G45=""),"",IF(AND($F45&lt;=AD$9+6,$G45&gt;=AD$9),IF($M45="Yes","◆","■"),""))</x:f>
      </x:c>
      <x:c r="AE45" t="str">
        <x:f>IF(OR($F45="",$G45=""),"",IF(AND($F45&lt;=AE$9+6,$G45&gt;=AE$9),IF($M45="Yes","◆","■"),""))</x:f>
      </x:c>
      <x:c r="AF45" t="str">
        <x:f>IF(OR($F45="",$G45=""),"",IF(AND($F45&lt;=AF$9+6,$G45&gt;=AF$9),IF($M45="Yes","◆","■"),""))</x:f>
      </x:c>
      <x:c r="AG45" t="str">
        <x:f>IF(OR($F45="",$G45=""),"",IF(AND($F45&lt;=AG$9+6,$G45&gt;=AG$9),IF($M45="Yes","◆","■"),""))</x:f>
      </x:c>
      <x:c r="AH45" t="str">
        <x:f>IF(OR($F45="",$G45=""),"",IF(AND($F45&lt;=AH$9+6,$G45&gt;=AH$9),IF($M45="Yes","◆","■"),""))</x:f>
      </x:c>
    </x:row>
    <x:row r="46">
      <x:c r="B46" t="str">
        <x:f>IF('Task List'!$B46="","",'Task List'!B46)</x:f>
      </x:c>
      <x:c r="C46" t="str">
        <x:f>IF('Task List'!$B46="","",'Task List'!C46)</x:f>
      </x:c>
      <x:c r="D46" t="str">
        <x:f>IF('Task List'!$B46="","",'Task List'!D46)</x:f>
      </x:c>
      <x:c r="E46" t="str">
        <x:f>IF('Task List'!$B46="","",'Task List'!F46)</x:f>
      </x:c>
      <x:c r="F46" t="str">
        <x:f>IF('Task List'!$B46="","",'Task List'!G46)</x:f>
      </x:c>
      <x:c r="G46" t="str">
        <x:f>IF('Task List'!$B46="","",'Task List'!H46)</x:f>
      </x:c>
      <x:c r="H46" t="str">
        <x:f>IF('Task List'!$B46="","",'Task List'!I46)</x:f>
      </x:c>
      <x:c r="I46" t="str">
        <x:f>IF('Task List'!$B46="","",'Task List'!J46)</x:f>
      </x:c>
      <x:c r="J46" t="str">
        <x:f>IF('Task List'!$B46="","",'Task List'!K46)</x:f>
      </x:c>
      <x:c r="K46" t="str">
        <x:f>IF('Task List'!$B46="","",'Task List'!L46)</x:f>
      </x:c>
      <x:c r="L46" t="str">
        <x:f>IF('Task List'!$B46="","",'Task List'!M46)</x:f>
      </x:c>
      <x:c r="M46" t="str">
        <x:f>IF('Task List'!$B46="","",'Task List'!N46)</x:f>
      </x:c>
      <x:c r="N46" t="str">
        <x:f>IF('Task List'!$B46="","",'Task List'!Q46)</x:f>
      </x:c>
      <x:c r="O46" t="str">
        <x:f>IF(OR($F46="",$G46=""),"",IF(AND($F46&lt;=O$9+6,$G46&gt;=O$9),IF($M46="Yes","◆","■"),""))</x:f>
      </x:c>
      <x:c r="P46" t="str">
        <x:f>IF(OR($F46="",$G46=""),"",IF(AND($F46&lt;=P$9+6,$G46&gt;=P$9),IF($M46="Yes","◆","■"),""))</x:f>
      </x:c>
      <x:c r="Q46" t="str">
        <x:f>IF(OR($F46="",$G46=""),"",IF(AND($F46&lt;=Q$9+6,$G46&gt;=Q$9),IF($M46="Yes","◆","■"),""))</x:f>
      </x:c>
      <x:c r="R46" t="str">
        <x:f>IF(OR($F46="",$G46=""),"",IF(AND($F46&lt;=R$9+6,$G46&gt;=R$9),IF($M46="Yes","◆","■"),""))</x:f>
      </x:c>
      <x:c r="S46" t="str">
        <x:f>IF(OR($F46="",$G46=""),"",IF(AND($F46&lt;=S$9+6,$G46&gt;=S$9),IF($M46="Yes","◆","■"),""))</x:f>
      </x:c>
      <x:c r="T46" t="str">
        <x:f>IF(OR($F46="",$G46=""),"",IF(AND($F46&lt;=T$9+6,$G46&gt;=T$9),IF($M46="Yes","◆","■"),""))</x:f>
      </x:c>
      <x:c r="U46" t="str">
        <x:f>IF(OR($F46="",$G46=""),"",IF(AND($F46&lt;=U$9+6,$G46&gt;=U$9),IF($M46="Yes","◆","■"),""))</x:f>
      </x:c>
      <x:c r="V46" t="str">
        <x:f>IF(OR($F46="",$G46=""),"",IF(AND($F46&lt;=V$9+6,$G46&gt;=V$9),IF($M46="Yes","◆","■"),""))</x:f>
      </x:c>
      <x:c r="W46" t="str">
        <x:f>IF(OR($F46="",$G46=""),"",IF(AND($F46&lt;=W$9+6,$G46&gt;=W$9),IF($M46="Yes","◆","■"),""))</x:f>
      </x:c>
      <x:c r="X46" t="str">
        <x:f>IF(OR($F46="",$G46=""),"",IF(AND($F46&lt;=X$9+6,$G46&gt;=X$9),IF($M46="Yes","◆","■"),""))</x:f>
      </x:c>
      <x:c r="Y46" t="str">
        <x:f>IF(OR($F46="",$G46=""),"",IF(AND($F46&lt;=Y$9+6,$G46&gt;=Y$9),IF($M46="Yes","◆","■"),""))</x:f>
      </x:c>
      <x:c r="Z46" t="str">
        <x:f>IF(OR($F46="",$G46=""),"",IF(AND($F46&lt;=Z$9+6,$G46&gt;=Z$9),IF($M46="Yes","◆","■"),""))</x:f>
      </x:c>
      <x:c r="AA46" t="str">
        <x:f>IF(OR($F46="",$G46=""),"",IF(AND($F46&lt;=AA$9+6,$G46&gt;=AA$9),IF($M46="Yes","◆","■"),""))</x:f>
      </x:c>
      <x:c r="AB46" t="str">
        <x:f>IF(OR($F46="",$G46=""),"",IF(AND($F46&lt;=AB$9+6,$G46&gt;=AB$9),IF($M46="Yes","◆","■"),""))</x:f>
      </x:c>
      <x:c r="AC46" t="str">
        <x:f>IF(OR($F46="",$G46=""),"",IF(AND($F46&lt;=AC$9+6,$G46&gt;=AC$9),IF($M46="Yes","◆","■"),""))</x:f>
      </x:c>
      <x:c r="AD46" t="str">
        <x:f>IF(OR($F46="",$G46=""),"",IF(AND($F46&lt;=AD$9+6,$G46&gt;=AD$9),IF($M46="Yes","◆","■"),""))</x:f>
      </x:c>
      <x:c r="AE46" t="str">
        <x:f>IF(OR($F46="",$G46=""),"",IF(AND($F46&lt;=AE$9+6,$G46&gt;=AE$9),IF($M46="Yes","◆","■"),""))</x:f>
      </x:c>
      <x:c r="AF46" t="str">
        <x:f>IF(OR($F46="",$G46=""),"",IF(AND($F46&lt;=AF$9+6,$G46&gt;=AF$9),IF($M46="Yes","◆","■"),""))</x:f>
      </x:c>
      <x:c r="AG46" t="str">
        <x:f>IF(OR($F46="",$G46=""),"",IF(AND($F46&lt;=AG$9+6,$G46&gt;=AG$9),IF($M46="Yes","◆","■"),""))</x:f>
      </x:c>
      <x:c r="AH46" t="str">
        <x:f>IF(OR($F46="",$G46=""),"",IF(AND($F46&lt;=AH$9+6,$G46&gt;=AH$9),IF($M46="Yes","◆","■"),""))</x:f>
      </x:c>
    </x:row>
    <x:row r="47">
      <x:c r="B47" t="str">
        <x:f>IF('Task List'!$B47="","",'Task List'!B47)</x:f>
      </x:c>
      <x:c r="C47" t="str">
        <x:f>IF('Task List'!$B47="","",'Task List'!C47)</x:f>
      </x:c>
      <x:c r="D47" t="str">
        <x:f>IF('Task List'!$B47="","",'Task List'!D47)</x:f>
      </x:c>
      <x:c r="E47" t="str">
        <x:f>IF('Task List'!$B47="","",'Task List'!F47)</x:f>
      </x:c>
      <x:c r="F47" t="str">
        <x:f>IF('Task List'!$B47="","",'Task List'!G47)</x:f>
      </x:c>
      <x:c r="G47" t="str">
        <x:f>IF('Task List'!$B47="","",'Task List'!H47)</x:f>
      </x:c>
      <x:c r="H47" t="str">
        <x:f>IF('Task List'!$B47="","",'Task List'!I47)</x:f>
      </x:c>
      <x:c r="I47" t="str">
        <x:f>IF('Task List'!$B47="","",'Task List'!J47)</x:f>
      </x:c>
      <x:c r="J47" t="str">
        <x:f>IF('Task List'!$B47="","",'Task List'!K47)</x:f>
      </x:c>
      <x:c r="K47" t="str">
        <x:f>IF('Task List'!$B47="","",'Task List'!L47)</x:f>
      </x:c>
      <x:c r="L47" t="str">
        <x:f>IF('Task List'!$B47="","",'Task List'!M47)</x:f>
      </x:c>
      <x:c r="M47" t="str">
        <x:f>IF('Task List'!$B47="","",'Task List'!N47)</x:f>
      </x:c>
      <x:c r="N47" t="str">
        <x:f>IF('Task List'!$B47="","",'Task List'!Q47)</x:f>
      </x:c>
      <x:c r="O47" t="str">
        <x:f>IF(OR($F47="",$G47=""),"",IF(AND($F47&lt;=O$9+6,$G47&gt;=O$9),IF($M47="Yes","◆","■"),""))</x:f>
      </x:c>
      <x:c r="P47" t="str">
        <x:f>IF(OR($F47="",$G47=""),"",IF(AND($F47&lt;=P$9+6,$G47&gt;=P$9),IF($M47="Yes","◆","■"),""))</x:f>
      </x:c>
      <x:c r="Q47" t="str">
        <x:f>IF(OR($F47="",$G47=""),"",IF(AND($F47&lt;=Q$9+6,$G47&gt;=Q$9),IF($M47="Yes","◆","■"),""))</x:f>
      </x:c>
      <x:c r="R47" t="str">
        <x:f>IF(OR($F47="",$G47=""),"",IF(AND($F47&lt;=R$9+6,$G47&gt;=R$9),IF($M47="Yes","◆","■"),""))</x:f>
      </x:c>
      <x:c r="S47" t="str">
        <x:f>IF(OR($F47="",$G47=""),"",IF(AND($F47&lt;=S$9+6,$G47&gt;=S$9),IF($M47="Yes","◆","■"),""))</x:f>
      </x:c>
      <x:c r="T47" t="str">
        <x:f>IF(OR($F47="",$G47=""),"",IF(AND($F47&lt;=T$9+6,$G47&gt;=T$9),IF($M47="Yes","◆","■"),""))</x:f>
      </x:c>
      <x:c r="U47" t="str">
        <x:f>IF(OR($F47="",$G47=""),"",IF(AND($F47&lt;=U$9+6,$G47&gt;=U$9),IF($M47="Yes","◆","■"),""))</x:f>
      </x:c>
      <x:c r="V47" t="str">
        <x:f>IF(OR($F47="",$G47=""),"",IF(AND($F47&lt;=V$9+6,$G47&gt;=V$9),IF($M47="Yes","◆","■"),""))</x:f>
      </x:c>
      <x:c r="W47" t="str">
        <x:f>IF(OR($F47="",$G47=""),"",IF(AND($F47&lt;=W$9+6,$G47&gt;=W$9),IF($M47="Yes","◆","■"),""))</x:f>
      </x:c>
      <x:c r="X47" t="str">
        <x:f>IF(OR($F47="",$G47=""),"",IF(AND($F47&lt;=X$9+6,$G47&gt;=X$9),IF($M47="Yes","◆","■"),""))</x:f>
      </x:c>
      <x:c r="Y47" t="str">
        <x:f>IF(OR($F47="",$G47=""),"",IF(AND($F47&lt;=Y$9+6,$G47&gt;=Y$9),IF($M47="Yes","◆","■"),""))</x:f>
      </x:c>
      <x:c r="Z47" t="str">
        <x:f>IF(OR($F47="",$G47=""),"",IF(AND($F47&lt;=Z$9+6,$G47&gt;=Z$9),IF($M47="Yes","◆","■"),""))</x:f>
      </x:c>
      <x:c r="AA47" t="str">
        <x:f>IF(OR($F47="",$G47=""),"",IF(AND($F47&lt;=AA$9+6,$G47&gt;=AA$9),IF($M47="Yes","◆","■"),""))</x:f>
      </x:c>
      <x:c r="AB47" t="str">
        <x:f>IF(OR($F47="",$G47=""),"",IF(AND($F47&lt;=AB$9+6,$G47&gt;=AB$9),IF($M47="Yes","◆","■"),""))</x:f>
      </x:c>
      <x:c r="AC47" t="str">
        <x:f>IF(OR($F47="",$G47=""),"",IF(AND($F47&lt;=AC$9+6,$G47&gt;=AC$9),IF($M47="Yes","◆","■"),""))</x:f>
      </x:c>
      <x:c r="AD47" t="str">
        <x:f>IF(OR($F47="",$G47=""),"",IF(AND($F47&lt;=AD$9+6,$G47&gt;=AD$9),IF($M47="Yes","◆","■"),""))</x:f>
      </x:c>
      <x:c r="AE47" t="str">
        <x:f>IF(OR($F47="",$G47=""),"",IF(AND($F47&lt;=AE$9+6,$G47&gt;=AE$9),IF($M47="Yes","◆","■"),""))</x:f>
      </x:c>
      <x:c r="AF47" t="str">
        <x:f>IF(OR($F47="",$G47=""),"",IF(AND($F47&lt;=AF$9+6,$G47&gt;=AF$9),IF($M47="Yes","◆","■"),""))</x:f>
      </x:c>
      <x:c r="AG47" t="str">
        <x:f>IF(OR($F47="",$G47=""),"",IF(AND($F47&lt;=AG$9+6,$G47&gt;=AG$9),IF($M47="Yes","◆","■"),""))</x:f>
      </x:c>
      <x:c r="AH47" t="str">
        <x:f>IF(OR($F47="",$G47=""),"",IF(AND($F47&lt;=AH$9+6,$G47&gt;=AH$9),IF($M47="Yes","◆","■"),""))</x:f>
      </x:c>
    </x:row>
    <x:row r="48">
      <x:c r="B48" t="str">
        <x:f>IF('Task List'!$B48="","",'Task List'!B48)</x:f>
      </x:c>
      <x:c r="C48" t="str">
        <x:f>IF('Task List'!$B48="","",'Task List'!C48)</x:f>
      </x:c>
      <x:c r="D48" t="str">
        <x:f>IF('Task List'!$B48="","",'Task List'!D48)</x:f>
      </x:c>
      <x:c r="E48" t="str">
        <x:f>IF('Task List'!$B48="","",'Task List'!F48)</x:f>
      </x:c>
      <x:c r="F48" t="str">
        <x:f>IF('Task List'!$B48="","",'Task List'!G48)</x:f>
      </x:c>
      <x:c r="G48" t="str">
        <x:f>IF('Task List'!$B48="","",'Task List'!H48)</x:f>
      </x:c>
      <x:c r="H48" t="str">
        <x:f>IF('Task List'!$B48="","",'Task List'!I48)</x:f>
      </x:c>
      <x:c r="I48" t="str">
        <x:f>IF('Task List'!$B48="","",'Task List'!J48)</x:f>
      </x:c>
      <x:c r="J48" t="str">
        <x:f>IF('Task List'!$B48="","",'Task List'!K48)</x:f>
      </x:c>
      <x:c r="K48" t="str">
        <x:f>IF('Task List'!$B48="","",'Task List'!L48)</x:f>
      </x:c>
      <x:c r="L48" t="str">
        <x:f>IF('Task List'!$B48="","",'Task List'!M48)</x:f>
      </x:c>
      <x:c r="M48" t="str">
        <x:f>IF('Task List'!$B48="","",'Task List'!N48)</x:f>
      </x:c>
      <x:c r="N48" t="str">
        <x:f>IF('Task List'!$B48="","",'Task List'!Q48)</x:f>
      </x:c>
      <x:c r="O48" t="str">
        <x:f>IF(OR($F48="",$G48=""),"",IF(AND($F48&lt;=O$9+6,$G48&gt;=O$9),IF($M48="Yes","◆","■"),""))</x:f>
      </x:c>
      <x:c r="P48" t="str">
        <x:f>IF(OR($F48="",$G48=""),"",IF(AND($F48&lt;=P$9+6,$G48&gt;=P$9),IF($M48="Yes","◆","■"),""))</x:f>
      </x:c>
      <x:c r="Q48" t="str">
        <x:f>IF(OR($F48="",$G48=""),"",IF(AND($F48&lt;=Q$9+6,$G48&gt;=Q$9),IF($M48="Yes","◆","■"),""))</x:f>
      </x:c>
      <x:c r="R48" t="str">
        <x:f>IF(OR($F48="",$G48=""),"",IF(AND($F48&lt;=R$9+6,$G48&gt;=R$9),IF($M48="Yes","◆","■"),""))</x:f>
      </x:c>
      <x:c r="S48" t="str">
        <x:f>IF(OR($F48="",$G48=""),"",IF(AND($F48&lt;=S$9+6,$G48&gt;=S$9),IF($M48="Yes","◆","■"),""))</x:f>
      </x:c>
      <x:c r="T48" t="str">
        <x:f>IF(OR($F48="",$G48=""),"",IF(AND($F48&lt;=T$9+6,$G48&gt;=T$9),IF($M48="Yes","◆","■"),""))</x:f>
      </x:c>
      <x:c r="U48" t="str">
        <x:f>IF(OR($F48="",$G48=""),"",IF(AND($F48&lt;=U$9+6,$G48&gt;=U$9),IF($M48="Yes","◆","■"),""))</x:f>
      </x:c>
      <x:c r="V48" t="str">
        <x:f>IF(OR($F48="",$G48=""),"",IF(AND($F48&lt;=V$9+6,$G48&gt;=V$9),IF($M48="Yes","◆","■"),""))</x:f>
      </x:c>
      <x:c r="W48" t="str">
        <x:f>IF(OR($F48="",$G48=""),"",IF(AND($F48&lt;=W$9+6,$G48&gt;=W$9),IF($M48="Yes","◆","■"),""))</x:f>
      </x:c>
      <x:c r="X48" t="str">
        <x:f>IF(OR($F48="",$G48=""),"",IF(AND($F48&lt;=X$9+6,$G48&gt;=X$9),IF($M48="Yes","◆","■"),""))</x:f>
      </x:c>
      <x:c r="Y48" t="str">
        <x:f>IF(OR($F48="",$G48=""),"",IF(AND($F48&lt;=Y$9+6,$G48&gt;=Y$9),IF($M48="Yes","◆","■"),""))</x:f>
      </x:c>
      <x:c r="Z48" t="str">
        <x:f>IF(OR($F48="",$G48=""),"",IF(AND($F48&lt;=Z$9+6,$G48&gt;=Z$9),IF($M48="Yes","◆","■"),""))</x:f>
      </x:c>
      <x:c r="AA48" t="str">
        <x:f>IF(OR($F48="",$G48=""),"",IF(AND($F48&lt;=AA$9+6,$G48&gt;=AA$9),IF($M48="Yes","◆","■"),""))</x:f>
      </x:c>
      <x:c r="AB48" t="str">
        <x:f>IF(OR($F48="",$G48=""),"",IF(AND($F48&lt;=AB$9+6,$G48&gt;=AB$9),IF($M48="Yes","◆","■"),""))</x:f>
      </x:c>
      <x:c r="AC48" t="str">
        <x:f>IF(OR($F48="",$G48=""),"",IF(AND($F48&lt;=AC$9+6,$G48&gt;=AC$9),IF($M48="Yes","◆","■"),""))</x:f>
      </x:c>
      <x:c r="AD48" t="str">
        <x:f>IF(OR($F48="",$G48=""),"",IF(AND($F48&lt;=AD$9+6,$G48&gt;=AD$9),IF($M48="Yes","◆","■"),""))</x:f>
      </x:c>
      <x:c r="AE48" t="str">
        <x:f>IF(OR($F48="",$G48=""),"",IF(AND($F48&lt;=AE$9+6,$G48&gt;=AE$9),IF($M48="Yes","◆","■"),""))</x:f>
      </x:c>
      <x:c r="AF48" t="str">
        <x:f>IF(OR($F48="",$G48=""),"",IF(AND($F48&lt;=AF$9+6,$G48&gt;=AF$9),IF($M48="Yes","◆","■"),""))</x:f>
      </x:c>
      <x:c r="AG48" t="str">
        <x:f>IF(OR($F48="",$G48=""),"",IF(AND($F48&lt;=AG$9+6,$G48&gt;=AG$9),IF($M48="Yes","◆","■"),""))</x:f>
      </x:c>
      <x:c r="AH48" t="str">
        <x:f>IF(OR($F48="",$G48=""),"",IF(AND($F48&lt;=AH$9+6,$G48&gt;=AH$9),IF($M48="Yes","◆","■"),""))</x:f>
      </x:c>
    </x:row>
    <x:row r="49">
      <x:c r="B49" t="str">
        <x:f>IF('Task List'!$B49="","",'Task List'!B49)</x:f>
      </x:c>
      <x:c r="C49" t="str">
        <x:f>IF('Task List'!$B49="","",'Task List'!C49)</x:f>
      </x:c>
      <x:c r="D49" t="str">
        <x:f>IF('Task List'!$B49="","",'Task List'!D49)</x:f>
      </x:c>
      <x:c r="E49" t="str">
        <x:f>IF('Task List'!$B49="","",'Task List'!F49)</x:f>
      </x:c>
      <x:c r="F49" t="str">
        <x:f>IF('Task List'!$B49="","",'Task List'!G49)</x:f>
      </x:c>
      <x:c r="G49" t="str">
        <x:f>IF('Task List'!$B49="","",'Task List'!H49)</x:f>
      </x:c>
      <x:c r="H49" t="str">
        <x:f>IF('Task List'!$B49="","",'Task List'!I49)</x:f>
      </x:c>
      <x:c r="I49" t="str">
        <x:f>IF('Task List'!$B49="","",'Task List'!J49)</x:f>
      </x:c>
      <x:c r="J49" t="str">
        <x:f>IF('Task List'!$B49="","",'Task List'!K49)</x:f>
      </x:c>
      <x:c r="K49" t="str">
        <x:f>IF('Task List'!$B49="","",'Task List'!L49)</x:f>
      </x:c>
      <x:c r="L49" t="str">
        <x:f>IF('Task List'!$B49="","",'Task List'!M49)</x:f>
      </x:c>
      <x:c r="M49" t="str">
        <x:f>IF('Task List'!$B49="","",'Task List'!N49)</x:f>
      </x:c>
      <x:c r="N49" t="str">
        <x:f>IF('Task List'!$B49="","",'Task List'!Q49)</x:f>
      </x:c>
      <x:c r="O49" t="str">
        <x:f>IF(OR($F49="",$G49=""),"",IF(AND($F49&lt;=O$9+6,$G49&gt;=O$9),IF($M49="Yes","◆","■"),""))</x:f>
      </x:c>
      <x:c r="P49" t="str">
        <x:f>IF(OR($F49="",$G49=""),"",IF(AND($F49&lt;=P$9+6,$G49&gt;=P$9),IF($M49="Yes","◆","■"),""))</x:f>
      </x:c>
      <x:c r="Q49" t="str">
        <x:f>IF(OR($F49="",$G49=""),"",IF(AND($F49&lt;=Q$9+6,$G49&gt;=Q$9),IF($M49="Yes","◆","■"),""))</x:f>
      </x:c>
      <x:c r="R49" t="str">
        <x:f>IF(OR($F49="",$G49=""),"",IF(AND($F49&lt;=R$9+6,$G49&gt;=R$9),IF($M49="Yes","◆","■"),""))</x:f>
      </x:c>
      <x:c r="S49" t="str">
        <x:f>IF(OR($F49="",$G49=""),"",IF(AND($F49&lt;=S$9+6,$G49&gt;=S$9),IF($M49="Yes","◆","■"),""))</x:f>
      </x:c>
      <x:c r="T49" t="str">
        <x:f>IF(OR($F49="",$G49=""),"",IF(AND($F49&lt;=T$9+6,$G49&gt;=T$9),IF($M49="Yes","◆","■"),""))</x:f>
      </x:c>
      <x:c r="U49" t="str">
        <x:f>IF(OR($F49="",$G49=""),"",IF(AND($F49&lt;=U$9+6,$G49&gt;=U$9),IF($M49="Yes","◆","■"),""))</x:f>
      </x:c>
      <x:c r="V49" t="str">
        <x:f>IF(OR($F49="",$G49=""),"",IF(AND($F49&lt;=V$9+6,$G49&gt;=V$9),IF($M49="Yes","◆","■"),""))</x:f>
      </x:c>
      <x:c r="W49" t="str">
        <x:f>IF(OR($F49="",$G49=""),"",IF(AND($F49&lt;=W$9+6,$G49&gt;=W$9),IF($M49="Yes","◆","■"),""))</x:f>
      </x:c>
      <x:c r="X49" t="str">
        <x:f>IF(OR($F49="",$G49=""),"",IF(AND($F49&lt;=X$9+6,$G49&gt;=X$9),IF($M49="Yes","◆","■"),""))</x:f>
      </x:c>
      <x:c r="Y49" t="str">
        <x:f>IF(OR($F49="",$G49=""),"",IF(AND($F49&lt;=Y$9+6,$G49&gt;=Y$9),IF($M49="Yes","◆","■"),""))</x:f>
      </x:c>
      <x:c r="Z49" t="str">
        <x:f>IF(OR($F49="",$G49=""),"",IF(AND($F49&lt;=Z$9+6,$G49&gt;=Z$9),IF($M49="Yes","◆","■"),""))</x:f>
      </x:c>
      <x:c r="AA49" t="str">
        <x:f>IF(OR($F49="",$G49=""),"",IF(AND($F49&lt;=AA$9+6,$G49&gt;=AA$9),IF($M49="Yes","◆","■"),""))</x:f>
      </x:c>
      <x:c r="AB49" t="str">
        <x:f>IF(OR($F49="",$G49=""),"",IF(AND($F49&lt;=AB$9+6,$G49&gt;=AB$9),IF($M49="Yes","◆","■"),""))</x:f>
      </x:c>
      <x:c r="AC49" t="str">
        <x:f>IF(OR($F49="",$G49=""),"",IF(AND($F49&lt;=AC$9+6,$G49&gt;=AC$9),IF($M49="Yes","◆","■"),""))</x:f>
      </x:c>
      <x:c r="AD49" t="str">
        <x:f>IF(OR($F49="",$G49=""),"",IF(AND($F49&lt;=AD$9+6,$G49&gt;=AD$9),IF($M49="Yes","◆","■"),""))</x:f>
      </x:c>
      <x:c r="AE49" t="str">
        <x:f>IF(OR($F49="",$G49=""),"",IF(AND($F49&lt;=AE$9+6,$G49&gt;=AE$9),IF($M49="Yes","◆","■"),""))</x:f>
      </x:c>
      <x:c r="AF49" t="str">
        <x:f>IF(OR($F49="",$G49=""),"",IF(AND($F49&lt;=AF$9+6,$G49&gt;=AF$9),IF($M49="Yes","◆","■"),""))</x:f>
      </x:c>
      <x:c r="AG49" t="str">
        <x:f>IF(OR($F49="",$G49=""),"",IF(AND($F49&lt;=AG$9+6,$G49&gt;=AG$9),IF($M49="Yes","◆","■"),""))</x:f>
      </x:c>
      <x:c r="AH49" t="str">
        <x:f>IF(OR($F49="",$G49=""),"",IF(AND($F49&lt;=AH$9+6,$G49&gt;=AH$9),IF($M49="Yes","◆","■"),""))</x:f>
      </x:c>
    </x:row>
    <x:row r="50">
      <x:c r="B50" t="str">
        <x:f>IF('Task List'!$B50="","",'Task List'!B50)</x:f>
      </x:c>
      <x:c r="C50" t="str">
        <x:f>IF('Task List'!$B50="","",'Task List'!C50)</x:f>
      </x:c>
      <x:c r="D50" t="str">
        <x:f>IF('Task List'!$B50="","",'Task List'!D50)</x:f>
      </x:c>
      <x:c r="E50" t="str">
        <x:f>IF('Task List'!$B50="","",'Task List'!F50)</x:f>
      </x:c>
      <x:c r="F50" t="str">
        <x:f>IF('Task List'!$B50="","",'Task List'!G50)</x:f>
      </x:c>
      <x:c r="G50" t="str">
        <x:f>IF('Task List'!$B50="","",'Task List'!H50)</x:f>
      </x:c>
      <x:c r="H50" t="str">
        <x:f>IF('Task List'!$B50="","",'Task List'!I50)</x:f>
      </x:c>
      <x:c r="I50" t="str">
        <x:f>IF('Task List'!$B50="","",'Task List'!J50)</x:f>
      </x:c>
      <x:c r="J50" t="str">
        <x:f>IF('Task List'!$B50="","",'Task List'!K50)</x:f>
      </x:c>
      <x:c r="K50" t="str">
        <x:f>IF('Task List'!$B50="","",'Task List'!L50)</x:f>
      </x:c>
      <x:c r="L50" t="str">
        <x:f>IF('Task List'!$B50="","",'Task List'!M50)</x:f>
      </x:c>
      <x:c r="M50" t="str">
        <x:f>IF('Task List'!$B50="","",'Task List'!N50)</x:f>
      </x:c>
      <x:c r="N50" t="str">
        <x:f>IF('Task List'!$B50="","",'Task List'!Q50)</x:f>
      </x:c>
      <x:c r="O50" t="str">
        <x:f>IF(OR($F50="",$G50=""),"",IF(AND($F50&lt;=O$9+6,$G50&gt;=O$9),IF($M50="Yes","◆","■"),""))</x:f>
      </x:c>
      <x:c r="P50" t="str">
        <x:f>IF(OR($F50="",$G50=""),"",IF(AND($F50&lt;=P$9+6,$G50&gt;=P$9),IF($M50="Yes","◆","■"),""))</x:f>
      </x:c>
      <x:c r="Q50" t="str">
        <x:f>IF(OR($F50="",$G50=""),"",IF(AND($F50&lt;=Q$9+6,$G50&gt;=Q$9),IF($M50="Yes","◆","■"),""))</x:f>
      </x:c>
      <x:c r="R50" t="str">
        <x:f>IF(OR($F50="",$G50=""),"",IF(AND($F50&lt;=R$9+6,$G50&gt;=R$9),IF($M50="Yes","◆","■"),""))</x:f>
      </x:c>
      <x:c r="S50" t="str">
        <x:f>IF(OR($F50="",$G50=""),"",IF(AND($F50&lt;=S$9+6,$G50&gt;=S$9),IF($M50="Yes","◆","■"),""))</x:f>
      </x:c>
      <x:c r="T50" t="str">
        <x:f>IF(OR($F50="",$G50=""),"",IF(AND($F50&lt;=T$9+6,$G50&gt;=T$9),IF($M50="Yes","◆","■"),""))</x:f>
      </x:c>
      <x:c r="U50" t="str">
        <x:f>IF(OR($F50="",$G50=""),"",IF(AND($F50&lt;=U$9+6,$G50&gt;=U$9),IF($M50="Yes","◆","■"),""))</x:f>
      </x:c>
      <x:c r="V50" t="str">
        <x:f>IF(OR($F50="",$G50=""),"",IF(AND($F50&lt;=V$9+6,$G50&gt;=V$9),IF($M50="Yes","◆","■"),""))</x:f>
      </x:c>
      <x:c r="W50" t="str">
        <x:f>IF(OR($F50="",$G50=""),"",IF(AND($F50&lt;=W$9+6,$G50&gt;=W$9),IF($M50="Yes","◆","■"),""))</x:f>
      </x:c>
      <x:c r="X50" t="str">
        <x:f>IF(OR($F50="",$G50=""),"",IF(AND($F50&lt;=X$9+6,$G50&gt;=X$9),IF($M50="Yes","◆","■"),""))</x:f>
      </x:c>
      <x:c r="Y50" t="str">
        <x:f>IF(OR($F50="",$G50=""),"",IF(AND($F50&lt;=Y$9+6,$G50&gt;=Y$9),IF($M50="Yes","◆","■"),""))</x:f>
      </x:c>
      <x:c r="Z50" t="str">
        <x:f>IF(OR($F50="",$G50=""),"",IF(AND($F50&lt;=Z$9+6,$G50&gt;=Z$9),IF($M50="Yes","◆","■"),""))</x:f>
      </x:c>
      <x:c r="AA50" t="str">
        <x:f>IF(OR($F50="",$G50=""),"",IF(AND($F50&lt;=AA$9+6,$G50&gt;=AA$9),IF($M50="Yes","◆","■"),""))</x:f>
      </x:c>
      <x:c r="AB50" t="str">
        <x:f>IF(OR($F50="",$G50=""),"",IF(AND($F50&lt;=AB$9+6,$G50&gt;=AB$9),IF($M50="Yes","◆","■"),""))</x:f>
      </x:c>
      <x:c r="AC50" t="str">
        <x:f>IF(OR($F50="",$G50=""),"",IF(AND($F50&lt;=AC$9+6,$G50&gt;=AC$9),IF($M50="Yes","◆","■"),""))</x:f>
      </x:c>
      <x:c r="AD50" t="str">
        <x:f>IF(OR($F50="",$G50=""),"",IF(AND($F50&lt;=AD$9+6,$G50&gt;=AD$9),IF($M50="Yes","◆","■"),""))</x:f>
      </x:c>
      <x:c r="AE50" t="str">
        <x:f>IF(OR($F50="",$G50=""),"",IF(AND($F50&lt;=AE$9+6,$G50&gt;=AE$9),IF($M50="Yes","◆","■"),""))</x:f>
      </x:c>
      <x:c r="AF50" t="str">
        <x:f>IF(OR($F50="",$G50=""),"",IF(AND($F50&lt;=AF$9+6,$G50&gt;=AF$9),IF($M50="Yes","◆","■"),""))</x:f>
      </x:c>
      <x:c r="AG50" t="str">
        <x:f>IF(OR($F50="",$G50=""),"",IF(AND($F50&lt;=AG$9+6,$G50&gt;=AG$9),IF($M50="Yes","◆","■"),""))</x:f>
      </x:c>
      <x:c r="AH50" t="str">
        <x:f>IF(OR($F50="",$G50=""),"",IF(AND($F50&lt;=AH$9+6,$G50&gt;=AH$9),IF($M50="Yes","◆","■"),""))</x:f>
      </x:c>
    </x:row>
  </x:sheetData>
  <x:mergeCells>
    <x:mergeCell ref="B2:AH2"/>
  </x:mergeCells>
  <x:conditionalFormatting sqref="O10:AB27">
    <x:cfRule type="expression" dxfId="3" priority="1">
      <x:formula>AND($F10&lt;&gt;"", $G10&lt;&gt;"", $F10&lt;=O$9+6, $G10&gt;=O$9, $M10="Yes")</x:formula>
    </x:cfRule>
    <x:cfRule type="expression" dxfId="4" priority="2">
      <x:formula>AND($F10&lt;&gt;"", $G10&lt;&gt;"", $F10&lt;=O$9+6, $G10&gt;=O$9, $I10="Blocked")</x:formula>
    </x:cfRule>
    <x:cfRule type="expression" dxfId="5" priority="3">
      <x:formula>AND($F10&lt;&gt;"", $G10&lt;&gt;"", $F10&lt;=O$9+6, $G10&gt;=O$9, $N10="Overdue")</x:formula>
    </x:cfRule>
    <x:cfRule type="expression" dxfId="6" priority="4">
      <x:formula>AND($F10&lt;&gt;"", $G10&lt;&gt;"", $F10&lt;=O$9+6, $G10&gt;=O$9, $I10="Completed")</x:formula>
    </x:cfRule>
    <x:cfRule type="expression" dxfId="7" priority="5">
      <x:formula>AND($F10&lt;&gt;"", $G10&lt;&gt;"", $F10&lt;=O$9+6, $G10&gt;=O$9)</x:formula>
    </x:cfRule>
  </x:conditionalFormatting>
  <x:conditionalFormatting sqref="O8:AB9">
    <x:cfRule type="expression" dxfId="8" priority="6">
      <x:formula>AND(Settings!$D$9&gt;=O$9, Settings!$D$9&lt;=O$9+6)</x:formula>
    </x:cfRule>
  </x:conditionalFormatting>
  <x:conditionalFormatting sqref="O10:AH50">
    <x:cfRule type="expression" dxfId="17" priority="7">
      <x:formula>AND($F10&lt;&gt;"",$G10&lt;&gt;"",$F10&lt;=O$9+6,$G10&gt;=O$9,$M10="Yes")</x:formula>
    </x:cfRule>
    <x:cfRule type="expression" dxfId="18" priority="8">
      <x:formula>AND($F10&lt;&gt;"",$G10&lt;&gt;"",$F10&lt;=O$9+6,$G10&gt;=O$9,$I10="Blocked")</x:formula>
    </x:cfRule>
    <x:cfRule type="expression" dxfId="19" priority="9">
      <x:formula>AND($F10&lt;&gt;"",$G10&lt;&gt;"",$F10&lt;=O$9+6,$G10&gt;=O$9,$N10="Overdue")</x:formula>
    </x:cfRule>
    <x:cfRule type="expression" dxfId="20" priority="10">
      <x:formula>AND($F10&lt;&gt;"",$G10&lt;&gt;"",$F10&lt;=O$9+6,$G10&gt;=O$9,$I10="Completed")</x:formula>
    </x:cfRule>
    <x:cfRule type="expression" dxfId="21" priority="11">
      <x:formula>AND($F10&lt;&gt;"",$G10&lt;&gt;"",$F10&lt;=O$9+6,$G10&gt;=O$9)</x:formula>
    </x:cfRule>
  </x:conditionalFormatting>
  <x:conditionalFormatting sqref="O8:AH9">
    <x:cfRule type="expression" dxfId="22" priority="12">
      <x:formula>AND(Settings!$D$9&gt;=O$9,Settings!$D$9&lt;=O$9+6)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3.7109375" customWidth="1"/>
    <x:col min="2" max="2" width="10.7109375" customWidth="1"/>
    <x:col min="3" max="3" width="13.7109375" customWidth="1"/>
    <x:col min="4" max="4" width="31" hidden="0" customWidth="1"/>
    <x:col min="5" max="5" width="45" hidden="0" customWidth="1"/>
    <x:col min="6" max="6" width="15.7109375" customWidth="1"/>
    <x:col min="7" max="8" width="13.7109375" customWidth="1"/>
    <x:col min="9" max="9" width="10.7109375" customWidth="1"/>
    <x:col min="10" max="10" width="13.7109375" customWidth="1"/>
    <x:col min="11" max="11" width="11.7109375" customWidth="1"/>
    <x:col min="12" max="12" width="13.7109375" customWidth="1"/>
    <x:col min="13" max="13" width="18.7109375" customWidth="1"/>
    <x:col min="14" max="14" width="11.7109375" customWidth="1"/>
    <x:col min="15" max="15" width="20.7109375" customWidth="1"/>
    <x:col min="16" max="17" width="15.7109375" customWidth="1"/>
    <x:col min="18" max="18" width="40" hidden="0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B3" s="3" t="s">
        <x:v>1</x:v>
      </x:c>
      <x:c r="C3" s="3" t="s">
        <x:v>2</x:v>
      </x:c>
      <x:c r="D3" s="2" t="s">
        <x:v>3</x:v>
      </x:c>
      <x:c r="E3" s="3" t="s">
        <x:v>4</x:v>
      </x:c>
      <x:c r="F3" s="3" t="s">
        <x:v>5</x:v>
      </x:c>
      <x:c r="G3" s="3" t="s">
        <x:v>6</x:v>
      </x:c>
    </x:row>
    <x:row r="4">
      <x:c r="B4" s="4" t="s">
        <x:v>53</x:v>
      </x:c>
    </x:row>
    <x:row r="5">
      <x:c r="B5" s="5" t="s">
        <x:v>54</x:v>
      </x:c>
    </x:row>
    <x:row r="9">
      <x:c r="B9" t="s">
        <x:v>33</x:v>
      </x:c>
      <x:c r="C9" t="s">
        <x:v>34</x:v>
      </x:c>
      <x:c r="D9" t="s">
        <x:v>35</x:v>
      </x:c>
      <x:c r="E9" t="s">
        <x:v>55</x:v>
      </x:c>
      <x:c r="F9" t="s">
        <x:v>36</x:v>
      </x:c>
      <x:c r="G9" t="s">
        <x:v>11</x:v>
      </x:c>
      <x:c r="H9" t="s">
        <x:v>37</x:v>
      </x:c>
      <x:c r="I9" t="s">
        <x:v>49</x:v>
      </x:c>
      <x:c r="J9" t="s">
        <x:v>38</x:v>
      </x:c>
      <x:c r="K9" t="s">
        <x:v>39</x:v>
      </x:c>
      <x:c r="L9" t="s">
        <x:v>45</x:v>
      </x:c>
      <x:c r="M9" t="s">
        <x:v>56</x:v>
      </x:c>
      <x:c r="N9" t="s">
        <x:v>52</x:v>
      </x:c>
      <x:c r="O9" t="s">
        <x:v>57</x:v>
      </x:c>
      <x:c r="P9" t="s">
        <x:v>46</x:v>
      </x:c>
      <x:c r="Q9" t="s">
        <x:v>58</x:v>
      </x:c>
      <x:c r="R9" t="s">
        <x:v>59</x:v>
      </x:c>
    </x:row>
    <x:row r="10" ht="30" customHeight="1">
      <x:c r="B10" s="31" t="s">
        <x:v>60</x:v>
      </x:c>
      <x:c r="C10" s="31" t="s">
        <x:v>61</x:v>
      </x:c>
      <x:c r="D10" s="35" t="s">
        <x:v>62</x:v>
      </x:c>
      <x:c r="E10" s="35" t="s">
        <x:v>63</x:v>
      </x:c>
      <x:c r="F10" s="32" t="s">
        <x:v>64</x:v>
      </x:c>
      <x:c r="G10" s="33">
        <x:v>46300</x:v>
      </x:c>
      <x:c r="H10" s="33">
        <x:v>46307</x:v>
      </x:c>
      <x:c r="I10" s="26" t="n">
        <x:f>IF(OR(G10="",H10=""),"",IF(H10&lt;G10,"",H10-G10+1))</x:f>
        <x:v>8</x:v>
      </x:c>
      <x:c r="J10" s="31" t="s">
        <x:v>65</x:v>
      </x:c>
      <x:c r="K10" s="31" t="s">
        <x:v>66</x:v>
      </x:c>
      <x:c r="L10" s="34">
        <x:v>1</x:v>
      </x:c>
      <x:c r="M10" s="31" t="s">
        <x:v>67</x:v>
      </x:c>
      <x:c r="N10" s="31" t="s">
        <x:v>68</x:v>
      </x:c>
      <x:c r="O10" s="33">
        <x:v>46307</x:v>
      </x:c>
      <x:c r="P10" s="26" t="n">
        <x:f>IF(H10="","",IF(J10="Completed",0,H10-Settings!$D$9))</x:f>
        <x:v>0</x:v>
      </x:c>
      <x:c r="Q10" s="21" t="str">
        <x:f>IF(B10="","",IF(AND(G10&lt;&gt;"",H10&lt;&gt;"",H10&lt;G10),"Check Dates",IF(AND(J10="Completed",OR(L10&lt;&gt;1,O10="")),"Check Completion",IF(J10="Completed","Completed",IF(J10="Blocked","Blocked",IF(J10="On Hold","On Hold",IF(AND(H10&lt;Settings!$D$9,J10&lt;&gt;"Completed"),"Overdue",IF(AND(H10-Settings!$D$9&lt;=7,H10&gt;=Settings!$D$9,J10&lt;&gt;"Completed"),"Due Soon",IF(J10="In Progress","In Progress","Not Started")))))))))</x:f>
        <x:v>Completed</x:v>
      </x:c>
      <x:c r="R10" s="35" t="s">
        <x:v>69</x:v>
      </x:c>
    </x:row>
    <x:row r="11" ht="30" customHeight="1">
      <x:c r="B11" s="31" t="s">
        <x:v>70</x:v>
      </x:c>
      <x:c r="C11" s="31" t="s">
        <x:v>61</x:v>
      </x:c>
      <x:c r="D11" s="35" t="s">
        <x:v>71</x:v>
      </x:c>
      <x:c r="E11" s="35" t="s">
        <x:v>72</x:v>
      </x:c>
      <x:c r="F11" s="32" t="s">
        <x:v>73</x:v>
      </x:c>
      <x:c r="G11" s="33">
        <x:v>46303</x:v>
      </x:c>
      <x:c r="H11" s="33">
        <x:v>46311</x:v>
      </x:c>
      <x:c r="I11" s="26" t="n">
        <x:f>IF(OR(G11="",H11=""),"",IF(H11&lt;G11,"",H11-G11+1))</x:f>
        <x:v>9</x:v>
      </x:c>
      <x:c r="J11" s="31" t="s">
        <x:v>65</x:v>
      </x:c>
      <x:c r="K11" s="31" t="s">
        <x:v>74</x:v>
      </x:c>
      <x:c r="L11" s="34">
        <x:v>1</x:v>
      </x:c>
      <x:c r="M11" s="31" t="s">
        <x:v>60</x:v>
      </x:c>
      <x:c r="N11" s="31" t="s">
        <x:v>68</x:v>
      </x:c>
      <x:c r="O11" s="33">
        <x:v>46311</x:v>
      </x:c>
      <x:c r="P11" s="26" t="n">
        <x:f>IF(H11="","",IF(J11="Completed",0,H11-Settings!$D$9))</x:f>
        <x:v>0</x:v>
      </x:c>
      <x:c r="Q11" s="21" t="str">
        <x:f>IF(B11="","",IF(AND(G11&lt;&gt;"",H11&lt;&gt;"",H11&lt;G11),"Check Dates",IF(AND(J11="Completed",OR(L11&lt;&gt;1,O11="")),"Check Completion",IF(J11="Completed","Completed",IF(J11="Blocked","Blocked",IF(J11="On Hold","On Hold",IF(AND(H11&lt;Settings!$D$9,J11&lt;&gt;"Completed"),"Overdue",IF(AND(H11-Settings!$D$9&lt;=7,H11&gt;=Settings!$D$9,J11&lt;&gt;"Completed"),"Due Soon",IF(J11="In Progress","In Progress","Not Started")))))))))</x:f>
        <x:v>Completed</x:v>
      </x:c>
      <x:c r="R11" s="35" t="s">
        <x:v>75</x:v>
      </x:c>
    </x:row>
    <x:row r="12" ht="30" customHeight="1">
      <x:c r="B12" s="31" t="s">
        <x:v>76</x:v>
      </x:c>
      <x:c r="C12" s="31" t="s">
        <x:v>61</x:v>
      </x:c>
      <x:c r="D12" s="35" t="s">
        <x:v>77</x:v>
      </x:c>
      <x:c r="E12" s="35" t="s">
        <x:v>78</x:v>
      </x:c>
      <x:c r="F12" s="32" t="s">
        <x:v>64</x:v>
      </x:c>
      <x:c r="G12" s="33">
        <x:v>46311</x:v>
      </x:c>
      <x:c r="H12" s="33">
        <x:v>46311</x:v>
      </x:c>
      <x:c r="I12" s="26" t="n">
        <x:f>IF(OR(G12="",H12=""),"",IF(H12&lt;G12,"",H12-G12+1))</x:f>
        <x:v>1</x:v>
      </x:c>
      <x:c r="J12" s="31" t="s">
        <x:v>65</x:v>
      </x:c>
      <x:c r="K12" s="31" t="s">
        <x:v>79</x:v>
      </x:c>
      <x:c r="L12" s="34">
        <x:v>1</x:v>
      </x:c>
      <x:c r="M12" s="31" t="s">
        <x:v>70</x:v>
      </x:c>
      <x:c r="N12" s="31" t="s">
        <x:v>80</x:v>
      </x:c>
      <x:c r="O12" s="33">
        <x:v>46311</x:v>
      </x:c>
      <x:c r="P12" s="26" t="n">
        <x:f>IF(H12="","",IF(J12="Completed",0,H12-Settings!$D$9))</x:f>
        <x:v>0</x:v>
      </x:c>
      <x:c r="Q12" s="21" t="str">
        <x:f>IF(B12="","",IF(AND(G12&lt;&gt;"",H12&lt;&gt;"",H12&lt;G12),"Check Dates",IF(AND(J12="Completed",OR(L12&lt;&gt;1,O12="")),"Check Completion",IF(J12="Completed","Completed",IF(J12="Blocked","Blocked",IF(J12="On Hold","On Hold",IF(AND(H12&lt;Settings!$D$9,J12&lt;&gt;"Completed"),"Overdue",IF(AND(H12-Settings!$D$9&lt;=7,H12&gt;=Settings!$D$9,J12&lt;&gt;"Completed"),"Due Soon",IF(J12="In Progress","In Progress","Not Started")))))))))</x:f>
        <x:v>Completed</x:v>
      </x:c>
      <x:c r="R12" s="35" t="s">
        <x:v>81</x:v>
      </x:c>
    </x:row>
    <x:row r="13" ht="30" customHeight="1">
      <x:c r="B13" s="31" t="s">
        <x:v>82</x:v>
      </x:c>
      <x:c r="C13" s="31" t="s">
        <x:v>83</x:v>
      </x:c>
      <x:c r="D13" s="35" t="s">
        <x:v>84</x:v>
      </x:c>
      <x:c r="E13" s="35" t="s">
        <x:v>85</x:v>
      </x:c>
      <x:c r="F13" s="32" t="s">
        <x:v>86</x:v>
      </x:c>
      <x:c r="G13" s="33">
        <x:v>46314</x:v>
      </x:c>
      <x:c r="H13" s="33">
        <x:v>46323</x:v>
      </x:c>
      <x:c r="I13" s="26" t="n">
        <x:f>IF(OR(G13="",H13=""),"",IF(H13&lt;G13,"",H13-G13+1))</x:f>
        <x:v>10</x:v>
      </x:c>
      <x:c r="J13" s="31" t="s">
        <x:v>65</x:v>
      </x:c>
      <x:c r="K13" s="31" t="s">
        <x:v>66</x:v>
      </x:c>
      <x:c r="L13" s="34">
        <x:v>1</x:v>
      </x:c>
      <x:c r="M13" s="31" t="s">
        <x:v>76</x:v>
      </x:c>
      <x:c r="N13" s="31" t="s">
        <x:v>68</x:v>
      </x:c>
      <x:c r="O13" s="33">
        <x:v>46323</x:v>
      </x:c>
      <x:c r="P13" s="26" t="n">
        <x:f>IF(H13="","",IF(J13="Completed",0,H13-Settings!$D$9))</x:f>
        <x:v>0</x:v>
      </x:c>
      <x:c r="Q13" s="21" t="str">
        <x:f>IF(B13="","",IF(AND(G13&lt;&gt;"",H13&lt;&gt;"",H13&lt;G13),"Check Dates",IF(AND(J13="Completed",OR(L13&lt;&gt;1,O13="")),"Check Completion",IF(J13="Completed","Completed",IF(J13="Blocked","Blocked",IF(J13="On Hold","On Hold",IF(AND(H13&lt;Settings!$D$9,J13&lt;&gt;"Completed"),"Overdue",IF(AND(H13-Settings!$D$9&lt;=7,H13&gt;=Settings!$D$9,J13&lt;&gt;"Completed"),"Due Soon",IF(J13="In Progress","In Progress","Not Started")))))))))</x:f>
        <x:v>Completed</x:v>
      </x:c>
      <x:c r="R13" s="35" t="s">
        <x:v>87</x:v>
      </x:c>
    </x:row>
    <x:row r="14" ht="30" customHeight="1">
      <x:c r="B14" s="31" t="s">
        <x:v>88</x:v>
      </x:c>
      <x:c r="C14" s="31" t="s">
        <x:v>83</x:v>
      </x:c>
      <x:c r="D14" s="35" t="s">
        <x:v>89</x:v>
      </x:c>
      <x:c r="E14" s="35" t="s">
        <x:v>90</x:v>
      </x:c>
      <x:c r="F14" s="32" t="s">
        <x:v>91</x:v>
      </x:c>
      <x:c r="G14" s="33">
        <x:v>46316</x:v>
      </x:c>
      <x:c r="H14" s="33">
        <x:v>46330</x:v>
      </x:c>
      <x:c r="I14" s="26" t="n">
        <x:f>IF(OR(G14="",H14=""),"",IF(H14&lt;G14,"",H14-G14+1))</x:f>
        <x:v>15</x:v>
      </x:c>
      <x:c r="J14" s="31" t="s">
        <x:v>92</x:v>
      </x:c>
      <x:c r="K14" s="31" t="s">
        <x:v>66</x:v>
      </x:c>
      <x:c r="L14" s="34">
        <x:v>0.8</x:v>
      </x:c>
      <x:c r="M14" s="31" t="s">
        <x:v>82</x:v>
      </x:c>
      <x:c r="N14" s="31" t="s">
        <x:v>68</x:v>
      </x:c>
      <x:c r="O14" s="22"/>
      <x:c r="P14" s="26" t="n">
        <x:f>IF(H14="","",IF(J14="Completed",0,H14-Settings!$D$9))</x:f>
        <x:v>-6</x:v>
      </x:c>
      <x:c r="Q14" s="21" t="str">
        <x:f>IF(B14="","",IF(AND(G14&lt;&gt;"",H14&lt;&gt;"",H14&lt;G14),"Check Dates",IF(AND(J14="Completed",OR(L14&lt;&gt;1,O14="")),"Check Completion",IF(J14="Completed","Completed",IF(J14="Blocked","Blocked",IF(J14="On Hold","On Hold",IF(AND(H14&lt;Settings!$D$9,J14&lt;&gt;"Completed"),"Overdue",IF(AND(H14-Settings!$D$9&lt;=7,H14&gt;=Settings!$D$9,J14&lt;&gt;"Completed"),"Due Soon",IF(J14="In Progress","In Progress","Not Started")))))))))</x:f>
        <x:v>Overdue</x:v>
      </x:c>
      <x:c r="R14" s="35" t="s">
        <x:v>93</x:v>
      </x:c>
    </x:row>
    <x:row r="15" ht="30" customHeight="1">
      <x:c r="B15" s="31" t="s">
        <x:v>94</x:v>
      </x:c>
      <x:c r="C15" s="31" t="s">
        <x:v>83</x:v>
      </x:c>
      <x:c r="D15" s="35" t="s">
        <x:v>95</x:v>
      </x:c>
      <x:c r="E15" s="35" t="s">
        <x:v>96</x:v>
      </x:c>
      <x:c r="F15" s="32" t="s">
        <x:v>64</x:v>
      </x:c>
      <x:c r="G15" s="33">
        <x:v>46321</x:v>
      </x:c>
      <x:c r="H15" s="33">
        <x:v>46330</x:v>
      </x:c>
      <x:c r="I15" s="26" t="n">
        <x:f>IF(OR(G15="",H15=""),"",IF(H15&lt;G15,"",H15-G15+1))</x:f>
        <x:v>10</x:v>
      </x:c>
      <x:c r="J15" s="31" t="s">
        <x:v>65</x:v>
      </x:c>
      <x:c r="K15" s="31" t="s">
        <x:v>66</x:v>
      </x:c>
      <x:c r="L15" s="34">
        <x:v>1</x:v>
      </x:c>
      <x:c r="M15" s="31" t="s">
        <x:v>82</x:v>
      </x:c>
      <x:c r="N15" s="31" t="s">
        <x:v>80</x:v>
      </x:c>
      <x:c r="O15" s="33">
        <x:v>46330</x:v>
      </x:c>
      <x:c r="P15" s="26" t="n">
        <x:f>IF(H15="","",IF(J15="Completed",0,H15-Settings!$D$9))</x:f>
        <x:v>0</x:v>
      </x:c>
      <x:c r="Q15" s="21" t="str">
        <x:f>IF(B15="","",IF(AND(G15&lt;&gt;"",H15&lt;&gt;"",H15&lt;G15),"Check Dates",IF(AND(J15="Completed",OR(L15&lt;&gt;1,O15="")),"Check Completion",IF(J15="Completed","Completed",IF(J15="Blocked","Blocked",IF(J15="On Hold","On Hold",IF(AND(H15&lt;Settings!$D$9,J15&lt;&gt;"Completed"),"Overdue",IF(AND(H15-Settings!$D$9&lt;=7,H15&gt;=Settings!$D$9,J15&lt;&gt;"Completed"),"Due Soon",IF(J15="In Progress","In Progress","Not Started")))))))))</x:f>
        <x:v>Completed</x:v>
      </x:c>
      <x:c r="R15" s="35" t="s">
        <x:v>97</x:v>
      </x:c>
    </x:row>
    <x:row r="16" ht="30" customHeight="1">
      <x:c r="B16" s="31" t="s">
        <x:v>98</x:v>
      </x:c>
      <x:c r="C16" s="31" t="s">
        <x:v>99</x:v>
      </x:c>
      <x:c r="D16" s="35" t="s">
        <x:v>100</x:v>
      </x:c>
      <x:c r="E16" s="35" t="s">
        <x:v>101</x:v>
      </x:c>
      <x:c r="F16" s="32" t="s">
        <x:v>73</x:v>
      </x:c>
      <x:c r="G16" s="33">
        <x:v>46328</x:v>
      </x:c>
      <x:c r="H16" s="33">
        <x:v>46342</x:v>
      </x:c>
      <x:c r="I16" s="26" t="n">
        <x:f>IF(OR(G16="",H16=""),"",IF(H16&lt;G16,"",H16-G16+1))</x:f>
        <x:v>15</x:v>
      </x:c>
      <x:c r="J16" s="31" t="s">
        <x:v>92</x:v>
      </x:c>
      <x:c r="K16" s="31" t="s">
        <x:v>74</x:v>
      </x:c>
      <x:c r="L16" s="34">
        <x:v>0.6</x:v>
      </x:c>
      <x:c r="M16" s="31" t="s">
        <x:v>94</x:v>
      </x:c>
      <x:c r="N16" s="31" t="s">
        <x:v>68</x:v>
      </x:c>
      <x:c r="O16" s="22"/>
      <x:c r="P16" s="26" t="n">
        <x:f>IF(H16="","",IF(J16="Completed",0,H16-Settings!$D$9))</x:f>
        <x:v>6</x:v>
      </x:c>
      <x:c r="Q16" s="21" t="str">
        <x:f>IF(B16="","",IF(AND(G16&lt;&gt;"",H16&lt;&gt;"",H16&lt;G16),"Check Dates",IF(AND(J16="Completed",OR(L16&lt;&gt;1,O16="")),"Check Completion",IF(J16="Completed","Completed",IF(J16="Blocked","Blocked",IF(J16="On Hold","On Hold",IF(AND(H16&lt;Settings!$D$9,J16&lt;&gt;"Completed"),"Overdue",IF(AND(H16-Settings!$D$9&lt;=7,H16&gt;=Settings!$D$9,J16&lt;&gt;"Completed"),"Due Soon",IF(J16="In Progress","In Progress","Not Started")))))))))</x:f>
        <x:v>Due Soon</x:v>
      </x:c>
      <x:c r="R16" s="35" t="s">
        <x:v>102</x:v>
      </x:c>
    </x:row>
    <x:row r="17" ht="30" customHeight="1">
      <x:c r="B17" s="31" t="s">
        <x:v>103</x:v>
      </x:c>
      <x:c r="C17" s="31" t="s">
        <x:v>99</x:v>
      </x:c>
      <x:c r="D17" s="35" t="s">
        <x:v>104</x:v>
      </x:c>
      <x:c r="E17" s="35" t="s">
        <x:v>105</x:v>
      </x:c>
      <x:c r="F17" s="32" t="s">
        <x:v>73</x:v>
      </x:c>
      <x:c r="G17" s="33">
        <x:v>46335</x:v>
      </x:c>
      <x:c r="H17" s="33">
        <x:v>46346</x:v>
      </x:c>
      <x:c r="I17" s="26" t="n">
        <x:f>IF(OR(G17="",H17=""),"",IF(H17&lt;G17,"",H17-G17+1))</x:f>
        <x:v>12</x:v>
      </x:c>
      <x:c r="J17" s="31" t="s">
        <x:v>92</x:v>
      </x:c>
      <x:c r="K17" s="31" t="s">
        <x:v>74</x:v>
      </x:c>
      <x:c r="L17" s="34">
        <x:v>0.25</x:v>
      </x:c>
      <x:c r="M17" s="31" t="s">
        <x:v>98</x:v>
      </x:c>
      <x:c r="N17" s="31" t="s">
        <x:v>68</x:v>
      </x:c>
      <x:c r="O17" s="22"/>
      <x:c r="P17" s="26" t="n">
        <x:f>IF(H17="","",IF(J17="Completed",0,H17-Settings!$D$9))</x:f>
        <x:v>10</x:v>
      </x:c>
      <x:c r="Q17" s="21" t="str">
        <x:f>IF(B17="","",IF(AND(G17&lt;&gt;"",H17&lt;&gt;"",H17&lt;G17),"Check Dates",IF(AND(J17="Completed",OR(L17&lt;&gt;1,O17="")),"Check Completion",IF(J17="Completed","Completed",IF(J17="Blocked","Blocked",IF(J17="On Hold","On Hold",IF(AND(H17&lt;Settings!$D$9,J17&lt;&gt;"Completed"),"Overdue",IF(AND(H17-Settings!$D$9&lt;=7,H17&gt;=Settings!$D$9,J17&lt;&gt;"Completed"),"Due Soon",IF(J17="In Progress","In Progress","Not Started")))))))))</x:f>
        <x:v>In Progress</x:v>
      </x:c>
      <x:c r="R17" s="35" t="s">
        <x:v>106</x:v>
      </x:c>
    </x:row>
    <x:row r="18" ht="30" customHeight="1">
      <x:c r="B18" s="31" t="s">
        <x:v>107</x:v>
      </x:c>
      <x:c r="C18" s="31" t="s">
        <x:v>99</x:v>
      </x:c>
      <x:c r="D18" s="35" t="s">
        <x:v>108</x:v>
      </x:c>
      <x:c r="E18" s="35" t="s">
        <x:v>109</x:v>
      </x:c>
      <x:c r="F18" s="32" t="s">
        <x:v>64</x:v>
      </x:c>
      <x:c r="G18" s="33">
        <x:v>46346</x:v>
      </x:c>
      <x:c r="H18" s="33">
        <x:v>46346</x:v>
      </x:c>
      <x:c r="I18" s="26" t="n">
        <x:f>IF(OR(G18="",H18=""),"",IF(H18&lt;G18,"",H18-G18+1))</x:f>
        <x:v>1</x:v>
      </x:c>
      <x:c r="J18" s="31" t="s">
        <x:v>110</x:v>
      </x:c>
      <x:c r="K18" s="31" t="s">
        <x:v>79</x:v>
      </x:c>
      <x:c r="L18" s="34">
        <x:v>0</x:v>
      </x:c>
      <x:c r="M18" s="31" t="s">
        <x:v>103</x:v>
      </x:c>
      <x:c r="N18" s="31" t="s">
        <x:v>80</x:v>
      </x:c>
      <x:c r="O18" s="22"/>
      <x:c r="P18" s="26" t="n">
        <x:f>IF(H18="","",IF(J18="Completed",0,H18-Settings!$D$9))</x:f>
        <x:v>10</x:v>
      </x:c>
      <x:c r="Q18" s="21" t="str">
        <x:f>IF(B18="","",IF(AND(G18&lt;&gt;"",H18&lt;&gt;"",H18&lt;G18),"Check Dates",IF(AND(J18="Completed",OR(L18&lt;&gt;1,O18="")),"Check Completion",IF(J18="Completed","Completed",IF(J18="Blocked","Blocked",IF(J18="On Hold","On Hold",IF(AND(H18&lt;Settings!$D$9,J18&lt;&gt;"Completed"),"Overdue",IF(AND(H18-Settings!$D$9&lt;=7,H18&gt;=Settings!$D$9,J18&lt;&gt;"Completed"),"Due Soon",IF(J18="In Progress","In Progress","Not Started")))))))))</x:f>
        <x:v>Not Started</x:v>
      </x:c>
      <x:c r="R18" s="35" t="s">
        <x:v>111</x:v>
      </x:c>
    </x:row>
    <x:row r="19" ht="30" customHeight="1">
      <x:c r="B19" s="31" t="s">
        <x:v>112</x:v>
      </x:c>
      <x:c r="C19" s="31" t="s">
        <x:v>113</x:v>
      </x:c>
      <x:c r="D19" s="35" t="s">
        <x:v>114</x:v>
      </x:c>
      <x:c r="E19" s="35" t="s">
        <x:v>115</x:v>
      </x:c>
      <x:c r="F19" s="32" t="s">
        <x:v>86</x:v>
      </x:c>
      <x:c r="G19" s="33">
        <x:v>46349</x:v>
      </x:c>
      <x:c r="H19" s="33">
        <x:v>46364</x:v>
      </x:c>
      <x:c r="I19" s="26" t="n">
        <x:f>IF(OR(G19="",H19=""),"",IF(H19&lt;G19,"",H19-G19+1))</x:f>
        <x:v>16</x:v>
      </x:c>
      <x:c r="J19" s="31" t="s">
        <x:v>110</x:v>
      </x:c>
      <x:c r="K19" s="31" t="s">
        <x:v>66</x:v>
      </x:c>
      <x:c r="L19" s="34">
        <x:v>0</x:v>
      </x:c>
      <x:c r="M19" s="31" t="s">
        <x:v>107</x:v>
      </x:c>
      <x:c r="N19" s="31" t="s">
        <x:v>68</x:v>
      </x:c>
      <x:c r="O19" s="22"/>
      <x:c r="P19" s="26" t="n">
        <x:f>IF(H19="","",IF(J19="Completed",0,H19-Settings!$D$9))</x:f>
        <x:v>28</x:v>
      </x:c>
      <x:c r="Q19" s="21" t="str">
        <x:f>IF(B19="","",IF(AND(G19&lt;&gt;"",H19&lt;&gt;"",H19&lt;G19),"Check Dates",IF(AND(J19="Completed",OR(L19&lt;&gt;1,O19="")),"Check Completion",IF(J19="Completed","Completed",IF(J19="Blocked","Blocked",IF(J19="On Hold","On Hold",IF(AND(H19&lt;Settings!$D$9,J19&lt;&gt;"Completed"),"Overdue",IF(AND(H19-Settings!$D$9&lt;=7,H19&gt;=Settings!$D$9,J19&lt;&gt;"Completed"),"Due Soon",IF(J19="In Progress","In Progress","Not Started")))))))))</x:f>
        <x:v>Not Started</x:v>
      </x:c>
      <x:c r="R19" s="35" t="s">
        <x:v>116</x:v>
      </x:c>
    </x:row>
    <x:row r="20" ht="30" customHeight="1">
      <x:c r="B20" s="31" t="s">
        <x:v>117</x:v>
      </x:c>
      <x:c r="C20" s="31" t="s">
        <x:v>113</x:v>
      </x:c>
      <x:c r="D20" s="35" t="s">
        <x:v>118</x:v>
      </x:c>
      <x:c r="E20" s="35" t="s">
        <x:v>119</x:v>
      </x:c>
      <x:c r="F20" s="32" t="s">
        <x:v>120</x:v>
      </x:c>
      <x:c r="G20" s="33">
        <x:v>46351</x:v>
      </x:c>
      <x:c r="H20" s="33">
        <x:v>46370</x:v>
      </x:c>
      <x:c r="I20" s="26" t="n">
        <x:f>IF(OR(G20="",H20=""),"",IF(H20&lt;G20,"",H20-G20+1))</x:f>
        <x:v>20</x:v>
      </x:c>
      <x:c r="J20" s="31" t="s">
        <x:v>110</x:v>
      </x:c>
      <x:c r="K20" s="31" t="s">
        <x:v>66</x:v>
      </x:c>
      <x:c r="L20" s="34">
        <x:v>0</x:v>
      </x:c>
      <x:c r="M20" s="31" t="s">
        <x:v>107</x:v>
      </x:c>
      <x:c r="N20" s="31" t="s">
        <x:v>68</x:v>
      </x:c>
      <x:c r="O20" s="22"/>
      <x:c r="P20" s="26" t="n">
        <x:f>IF(H20="","",IF(J20="Completed",0,H20-Settings!$D$9))</x:f>
        <x:v>34</x:v>
      </x:c>
      <x:c r="Q20" s="21" t="str">
        <x:f>IF(B20="","",IF(AND(G20&lt;&gt;"",H20&lt;&gt;"",H20&lt;G20),"Check Dates",IF(AND(J20="Completed",OR(L20&lt;&gt;1,O20="")),"Check Completion",IF(J20="Completed","Completed",IF(J20="Blocked","Blocked",IF(J20="On Hold","On Hold",IF(AND(H20&lt;Settings!$D$9,J20&lt;&gt;"Completed"),"Overdue",IF(AND(H20-Settings!$D$9&lt;=7,H20&gt;=Settings!$D$9,J20&lt;&gt;"Completed"),"Due Soon",IF(J20="In Progress","In Progress","Not Started")))))))))</x:f>
        <x:v>Not Started</x:v>
      </x:c>
      <x:c r="R20" s="35" t="s">
        <x:v>121</x:v>
      </x:c>
    </x:row>
    <x:row r="21" ht="30" customHeight="1">
      <x:c r="B21" s="31" t="s">
        <x:v>122</x:v>
      </x:c>
      <x:c r="C21" s="31" t="s">
        <x:v>113</x:v>
      </x:c>
      <x:c r="D21" s="35" t="s">
        <x:v>123</x:v>
      </x:c>
      <x:c r="E21" s="35" t="s">
        <x:v>124</x:v>
      </x:c>
      <x:c r="F21" s="32" t="s">
        <x:v>120</x:v>
      </x:c>
      <x:c r="G21" s="33">
        <x:v>46357</x:v>
      </x:c>
      <x:c r="H21" s="33">
        <x:v>46374</x:v>
      </x:c>
      <x:c r="I21" s="26" t="n">
        <x:f>IF(OR(G21="",H21=""),"",IF(H21&lt;G21,"",H21-G21+1))</x:f>
        <x:v>18</x:v>
      </x:c>
      <x:c r="J21" s="31" t="s">
        <x:v>125</x:v>
      </x:c>
      <x:c r="K21" s="31" t="s">
        <x:v>79</x:v>
      </x:c>
      <x:c r="L21" s="34">
        <x:v>0.15</x:v>
      </x:c>
      <x:c r="M21" s="31" t="s">
        <x:v>112</x:v>
      </x:c>
      <x:c r="N21" s="31" t="s">
        <x:v>68</x:v>
      </x:c>
      <x:c r="O21" s="22"/>
      <x:c r="P21" s="26" t="n">
        <x:f>IF(H21="","",IF(J21="Completed",0,H21-Settings!$D$9))</x:f>
        <x:v>38</x:v>
      </x:c>
      <x:c r="Q21" s="21" t="str">
        <x:f>IF(B21="","",IF(AND(G21&lt;&gt;"",H21&lt;&gt;"",H21&lt;G21),"Check Dates",IF(AND(J21="Completed",OR(L21&lt;&gt;1,O21="")),"Check Completion",IF(J21="Completed","Completed",IF(J21="Blocked","Blocked",IF(J21="On Hold","On Hold",IF(AND(H21&lt;Settings!$D$9,J21&lt;&gt;"Completed"),"Overdue",IF(AND(H21-Settings!$D$9&lt;=7,H21&gt;=Settings!$D$9,J21&lt;&gt;"Completed"),"Due Soon",IF(J21="In Progress","In Progress","Not Started")))))))))</x:f>
        <x:v>Blocked</x:v>
      </x:c>
      <x:c r="R21" s="35" t="s">
        <x:v>126</x:v>
      </x:c>
    </x:row>
    <x:row r="22" ht="30" customHeight="1">
      <x:c r="B22" s="31" t="s">
        <x:v>127</x:v>
      </x:c>
      <x:c r="C22" s="31" t="s">
        <x:v>113</x:v>
      </x:c>
      <x:c r="D22" s="35" t="s">
        <x:v>128</x:v>
      </x:c>
      <x:c r="E22" s="35" t="s">
        <x:v>129</x:v>
      </x:c>
      <x:c r="F22" s="32" t="s">
        <x:v>86</x:v>
      </x:c>
      <x:c r="G22" s="33">
        <x:v>46374</x:v>
      </x:c>
      <x:c r="H22" s="33">
        <x:v>46374</x:v>
      </x:c>
      <x:c r="I22" s="26" t="n">
        <x:f>IF(OR(G22="",H22=""),"",IF(H22&lt;G22,"",H22-G22+1))</x:f>
        <x:v>1</x:v>
      </x:c>
      <x:c r="J22" s="31" t="s">
        <x:v>110</x:v>
      </x:c>
      <x:c r="K22" s="31" t="s">
        <x:v>79</x:v>
      </x:c>
      <x:c r="L22" s="34">
        <x:v>0</x:v>
      </x:c>
      <x:c r="M22" s="31" t="s">
        <x:v>117</x:v>
      </x:c>
      <x:c r="N22" s="31" t="s">
        <x:v>80</x:v>
      </x:c>
      <x:c r="O22" s="22"/>
      <x:c r="P22" s="26" t="n">
        <x:f>IF(H22="","",IF(J22="Completed",0,H22-Settings!$D$9))</x:f>
        <x:v>38</x:v>
      </x:c>
      <x:c r="Q22" s="21" t="str">
        <x:f>IF(B22="","",IF(AND(G22&lt;&gt;"",H22&lt;&gt;"",H22&lt;G22),"Check Dates",IF(AND(J22="Completed",OR(L22&lt;&gt;1,O22="")),"Check Completion",IF(J22="Completed","Completed",IF(J22="Blocked","Blocked",IF(J22="On Hold","On Hold",IF(AND(H22&lt;Settings!$D$9,J22&lt;&gt;"Completed"),"Overdue",IF(AND(H22-Settings!$D$9&lt;=7,H22&gt;=Settings!$D$9,J22&lt;&gt;"Completed"),"Due Soon",IF(J22="In Progress","In Progress","Not Started")))))))))</x:f>
        <x:v>Not Started</x:v>
      </x:c>
      <x:c r="R22" s="35" t="s">
        <x:v>130</x:v>
      </x:c>
    </x:row>
    <x:row r="23" ht="30" customHeight="1">
      <x:c r="B23" s="31" t="s">
        <x:v>131</x:v>
      </x:c>
      <x:c r="C23" s="31" t="s">
        <x:v>132</x:v>
      </x:c>
      <x:c r="D23" s="35" t="s">
        <x:v>133</x:v>
      </x:c>
      <x:c r="E23" s="35" t="s">
        <x:v>134</x:v>
      </x:c>
      <x:c r="F23" s="32" t="s">
        <x:v>91</x:v>
      </x:c>
      <x:c r="G23" s="33">
        <x:v>46377</x:v>
      </x:c>
      <x:c r="H23" s="33">
        <x:v>46391</x:v>
      </x:c>
      <x:c r="I23" s="26" t="n">
        <x:f>IF(OR(G23="",H23=""),"",IF(H23&lt;G23,"",H23-G23+1))</x:f>
        <x:v>15</x:v>
      </x:c>
      <x:c r="J23" s="31" t="s">
        <x:v>110</x:v>
      </x:c>
      <x:c r="K23" s="31" t="s">
        <x:v>66</x:v>
      </x:c>
      <x:c r="L23" s="34">
        <x:v>0</x:v>
      </x:c>
      <x:c r="M23" s="31" t="s">
        <x:v>127</x:v>
      </x:c>
      <x:c r="N23" s="31" t="s">
        <x:v>68</x:v>
      </x:c>
      <x:c r="O23" s="22"/>
      <x:c r="P23" s="26" t="n">
        <x:f>IF(H23="","",IF(J23="Completed",0,H23-Settings!$D$9))</x:f>
        <x:v>55</x:v>
      </x:c>
      <x:c r="Q23" s="21" t="str">
        <x:f>IF(B23="","",IF(AND(G23&lt;&gt;"",H23&lt;&gt;"",H23&lt;G23),"Check Dates",IF(AND(J23="Completed",OR(L23&lt;&gt;1,O23="")),"Check Completion",IF(J23="Completed","Completed",IF(J23="Blocked","Blocked",IF(J23="On Hold","On Hold",IF(AND(H23&lt;Settings!$D$9,J23&lt;&gt;"Completed"),"Overdue",IF(AND(H23-Settings!$D$9&lt;=7,H23&gt;=Settings!$D$9,J23&lt;&gt;"Completed"),"Due Soon",IF(J23="In Progress","In Progress","Not Started")))))))))</x:f>
        <x:v>Not Started</x:v>
      </x:c>
      <x:c r="R23" s="35" t="s">
        <x:v>135</x:v>
      </x:c>
    </x:row>
    <x:row r="24" ht="30" customHeight="1">
      <x:c r="B24" s="31" t="s">
        <x:v>136</x:v>
      </x:c>
      <x:c r="C24" s="31" t="s">
        <x:v>132</x:v>
      </x:c>
      <x:c r="D24" s="35" t="s">
        <x:v>137</x:v>
      </x:c>
      <x:c r="E24" s="35" t="s">
        <x:v>138</x:v>
      </x:c>
      <x:c r="F24" s="32" t="s">
        <x:v>86</x:v>
      </x:c>
      <x:c r="G24" s="33">
        <x:v>46384</x:v>
      </x:c>
      <x:c r="H24" s="33">
        <x:v>46393</x:v>
      </x:c>
      <x:c r="I24" s="26" t="n">
        <x:f>IF(OR(G24="",H24=""),"",IF(H24&lt;G24,"",H24-G24+1))</x:f>
        <x:v>10</x:v>
      </x:c>
      <x:c r="J24" s="31" t="s">
        <x:v>110</x:v>
      </x:c>
      <x:c r="K24" s="31" t="s">
        <x:v>79</x:v>
      </x:c>
      <x:c r="L24" s="34">
        <x:v>0</x:v>
      </x:c>
      <x:c r="M24" s="31" t="s">
        <x:v>131</x:v>
      </x:c>
      <x:c r="N24" s="31" t="s">
        <x:v>68</x:v>
      </x:c>
      <x:c r="O24" s="22"/>
      <x:c r="P24" s="26" t="n">
        <x:f>IF(H24="","",IF(J24="Completed",0,H24-Settings!$D$9))</x:f>
        <x:v>57</x:v>
      </x:c>
      <x:c r="Q24" s="21" t="str">
        <x:f>IF(B24="","",IF(AND(G24&lt;&gt;"",H24&lt;&gt;"",H24&lt;G24),"Check Dates",IF(AND(J24="Completed",OR(L24&lt;&gt;1,O24="")),"Check Completion",IF(J24="Completed","Completed",IF(J24="Blocked","Blocked",IF(J24="On Hold","On Hold",IF(AND(H24&lt;Settings!$D$9,J24&lt;&gt;"Completed"),"Overdue",IF(AND(H24-Settings!$D$9&lt;=7,H24&gt;=Settings!$D$9,J24&lt;&gt;"Completed"),"Due Soon",IF(J24="In Progress","In Progress","Not Started")))))))))</x:f>
        <x:v>Not Started</x:v>
      </x:c>
      <x:c r="R24" s="35" t="s">
        <x:v>139</x:v>
      </x:c>
    </x:row>
    <x:row r="25" ht="30" customHeight="1">
      <x:c r="B25" s="31" t="s">
        <x:v>140</x:v>
      </x:c>
      <x:c r="C25" s="31" t="s">
        <x:v>132</x:v>
      </x:c>
      <x:c r="D25" s="35" t="s">
        <x:v>141</x:v>
      </x:c>
      <x:c r="E25" s="35" t="s">
        <x:v>142</x:v>
      </x:c>
      <x:c r="F25" s="32" t="s">
        <x:v>64</x:v>
      </x:c>
      <x:c r="G25" s="33">
        <x:v>46393</x:v>
      </x:c>
      <x:c r="H25" s="33">
        <x:v>46393</x:v>
      </x:c>
      <x:c r="I25" s="26" t="n">
        <x:f>IF(OR(G25="",H25=""),"",IF(H25&lt;G25,"",H25-G25+1))</x:f>
        <x:v>1</x:v>
      </x:c>
      <x:c r="J25" s="31" t="s">
        <x:v>110</x:v>
      </x:c>
      <x:c r="K25" s="31" t="s">
        <x:v>79</x:v>
      </x:c>
      <x:c r="L25" s="34">
        <x:v>0</x:v>
      </x:c>
      <x:c r="M25" s="31" t="s">
        <x:v>136</x:v>
      </x:c>
      <x:c r="N25" s="31" t="s">
        <x:v>80</x:v>
      </x:c>
      <x:c r="O25" s="22"/>
      <x:c r="P25" s="26" t="n">
        <x:f>IF(H25="","",IF(J25="Completed",0,H25-Settings!$D$9))</x:f>
        <x:v>57</x:v>
      </x:c>
      <x:c r="Q25" s="21" t="str">
        <x:f>IF(B25="","",IF(AND(G25&lt;&gt;"",H25&lt;&gt;"",H25&lt;G25),"Check Dates",IF(AND(J25="Completed",OR(L25&lt;&gt;1,O25="")),"Check Completion",IF(J25="Completed","Completed",IF(J25="Blocked","Blocked",IF(J25="On Hold","On Hold",IF(AND(H25&lt;Settings!$D$9,J25&lt;&gt;"Completed"),"Overdue",IF(AND(H25-Settings!$D$9&lt;=7,H25&gt;=Settings!$D$9,J25&lt;&gt;"Completed"),"Due Soon",IF(J25="In Progress","In Progress","Not Started")))))))))</x:f>
        <x:v>Not Started</x:v>
      </x:c>
      <x:c r="R25" s="35" t="s">
        <x:v>143</x:v>
      </x:c>
    </x:row>
    <x:row r="26" ht="30" customHeight="1">
      <x:c r="B26" s="31" t="s">
        <x:v>144</x:v>
      </x:c>
      <x:c r="C26" s="31" t="s">
        <x:v>145</x:v>
      </x:c>
      <x:c r="D26" s="35" t="s">
        <x:v>146</x:v>
      </x:c>
      <x:c r="E26" s="35" t="s">
        <x:v>147</x:v>
      </x:c>
      <x:c r="F26" s="32" t="s">
        <x:v>73</x:v>
      </x:c>
      <x:c r="G26" s="33">
        <x:v>46394</x:v>
      </x:c>
      <x:c r="H26" s="33">
        <x:v>46400</x:v>
      </x:c>
      <x:c r="I26" s="26" t="n">
        <x:f>IF(OR(G26="",H26=""),"",IF(H26&lt;G26,"",H26-G26+1))</x:f>
        <x:v>7</x:v>
      </x:c>
      <x:c r="J26" s="31" t="s">
        <x:v>110</x:v>
      </x:c>
      <x:c r="K26" s="31" t="s">
        <x:v>74</x:v>
      </x:c>
      <x:c r="L26" s="34">
        <x:v>0</x:v>
      </x:c>
      <x:c r="M26" s="31" t="s">
        <x:v>140</x:v>
      </x:c>
      <x:c r="N26" s="31" t="s">
        <x:v>68</x:v>
      </x:c>
      <x:c r="O26" s="22"/>
      <x:c r="P26" s="26" t="n">
        <x:f>IF(H26="","",IF(J26="Completed",0,H26-Settings!$D$9))</x:f>
        <x:v>64</x:v>
      </x:c>
      <x:c r="Q26" s="21" t="str">
        <x:f>IF(B26="","",IF(AND(G26&lt;&gt;"",H26&lt;&gt;"",H26&lt;G26),"Check Dates",IF(AND(J26="Completed",OR(L26&lt;&gt;1,O26="")),"Check Completion",IF(J26="Completed","Completed",IF(J26="Blocked","Blocked",IF(J26="On Hold","On Hold",IF(AND(H26&lt;Settings!$D$9,J26&lt;&gt;"Completed"),"Overdue",IF(AND(H26-Settings!$D$9&lt;=7,H26&gt;=Settings!$D$9,J26&lt;&gt;"Completed"),"Due Soon",IF(J26="In Progress","In Progress","Not Started")))))))))</x:f>
        <x:v>Not Started</x:v>
      </x:c>
      <x:c r="R26" s="35" t="s">
        <x:v>148</x:v>
      </x:c>
    </x:row>
    <x:row r="27" ht="30" customHeight="1">
      <x:c r="B27" s="31" t="s">
        <x:v>149</x:v>
      </x:c>
      <x:c r="C27" s="31" t="s">
        <x:v>145</x:v>
      </x:c>
      <x:c r="D27" s="35" t="s">
        <x:v>150</x:v>
      </x:c>
      <x:c r="E27" s="35" t="s">
        <x:v>151</x:v>
      </x:c>
      <x:c r="F27" s="32" t="s">
        <x:v>64</x:v>
      </x:c>
      <x:c r="G27" s="33">
        <x:v>46402</x:v>
      </x:c>
      <x:c r="H27" s="33">
        <x:v>46402</x:v>
      </x:c>
      <x:c r="I27" s="26" t="n">
        <x:f>IF(OR(G27="",H27=""),"",IF(H27&lt;G27,"",H27-G27+1))</x:f>
        <x:v>1</x:v>
      </x:c>
      <x:c r="J27" s="31" t="s">
        <x:v>110</x:v>
      </x:c>
      <x:c r="K27" s="31" t="s">
        <x:v>79</x:v>
      </x:c>
      <x:c r="L27" s="34">
        <x:v>0</x:v>
      </x:c>
      <x:c r="M27" s="31" t="s">
        <x:v>144</x:v>
      </x:c>
      <x:c r="N27" s="31" t="s">
        <x:v>80</x:v>
      </x:c>
      <x:c r="O27" s="22"/>
      <x:c r="P27" s="26" t="n">
        <x:f>IF(H27="","",IF(J27="Completed",0,H27-Settings!$D$9))</x:f>
        <x:v>66</x:v>
      </x:c>
      <x:c r="Q27" s="21" t="str">
        <x:f>IF(B27="","",IF(AND(G27&lt;&gt;"",H27&lt;&gt;"",H27&lt;G27),"Check Dates",IF(AND(J27="Completed",OR(L27&lt;&gt;1,O27="")),"Check Completion",IF(J27="Completed","Completed",IF(J27="Blocked","Blocked",IF(J27="On Hold","On Hold",IF(AND(H27&lt;Settings!$D$9,J27&lt;&gt;"Completed"),"Overdue",IF(AND(H27-Settings!$D$9&lt;=7,H27&gt;=Settings!$D$9,J27&lt;&gt;"Completed"),"Due Soon",IF(J27="In Progress","In Progress","Not Started")))))))))</x:f>
        <x:v>Not Started</x:v>
      </x:c>
      <x:c r="R27" s="35" t="s">
        <x:v>152</x:v>
      </x:c>
    </x:row>
    <x:row r="28" ht="30" customHeight="1">
      <x:c r="B28"/>
      <x:c r="C28"/>
      <x:c r="D28" s="36"/>
      <x:c r="E28" s="36"/>
      <x:c r="F28"/>
      <x:c r="G28"/>
      <x:c r="H28"/>
      <x:c r="I28" t="str">
        <x:f>IF(OR(G28="",H28=""),"",IF(H28&lt;G28,"",H28-G28+1))</x:f>
      </x:c>
      <x:c r="J28"/>
      <x:c r="K28"/>
      <x:c r="L28"/>
      <x:c r="M28"/>
      <x:c r="N28"/>
      <x:c r="O28"/>
      <x:c r="P28" t="str">
        <x:f>IF(H28="","",IF(J28="Completed",0,H28-Settings!$D$9))</x:f>
      </x:c>
      <x:c r="Q28" t="str">
        <x:f>IF(B28="","",IF(AND(G28&lt;&gt;"",H28&lt;&gt;"",H28&lt;G28),"Check Dates",IF(AND(J28="Completed",OR(L28&lt;&gt;1,O28="")),"Check Completion",IF(J28="Completed","Completed",IF(J28="Blocked","Blocked",IF(J28="On Hold","On Hold",IF(AND(H28&lt;Settings!$D$9,J28&lt;&gt;"Completed"),"Overdue",IF(AND(H28-Settings!$D$9&lt;=7,H28&gt;=Settings!$D$9,J28&lt;&gt;"Completed"),"Due Soon",IF(J28="In Progress","In Progress","Not Started")))))))))</x:f>
      </x:c>
      <x:c r="R28" s="36"/>
    </x:row>
    <x:row r="29" ht="30" customHeight="1">
      <x:c r="B29"/>
      <x:c r="C29"/>
      <x:c r="D29" s="36"/>
      <x:c r="E29" s="36"/>
      <x:c r="F29"/>
      <x:c r="G29"/>
      <x:c r="H29"/>
      <x:c r="I29" t="str">
        <x:f>IF(OR(G29="",H29=""),"",IF(H29&lt;G29,"",H29-G29+1))</x:f>
      </x:c>
      <x:c r="J29"/>
      <x:c r="K29"/>
      <x:c r="L29"/>
      <x:c r="M29"/>
      <x:c r="N29"/>
      <x:c r="O29"/>
      <x:c r="P29" t="str">
        <x:f>IF(H29="","",IF(J29="Completed",0,H29-Settings!$D$9))</x:f>
      </x:c>
      <x:c r="Q29" t="str">
        <x:f>IF(B29="","",IF(AND(G29&lt;&gt;"",H29&lt;&gt;"",H29&lt;G29),"Check Dates",IF(AND(J29="Completed",OR(L29&lt;&gt;1,O29="")),"Check Completion",IF(J29="Completed","Completed",IF(J29="Blocked","Blocked",IF(J29="On Hold","On Hold",IF(AND(H29&lt;Settings!$D$9,J29&lt;&gt;"Completed"),"Overdue",IF(AND(H29-Settings!$D$9&lt;=7,H29&gt;=Settings!$D$9,J29&lt;&gt;"Completed"),"Due Soon",IF(J29="In Progress","In Progress","Not Started")))))))))</x:f>
      </x:c>
      <x:c r="R29" s="36"/>
    </x:row>
    <x:row r="30" ht="30" customHeight="1">
      <x:c r="B30"/>
      <x:c r="C30"/>
      <x:c r="D30" s="36"/>
      <x:c r="E30" s="36"/>
      <x:c r="F30"/>
      <x:c r="G30"/>
      <x:c r="H30"/>
      <x:c r="I30" t="str">
        <x:f>IF(OR(G30="",H30=""),"",IF(H30&lt;G30,"",H30-G30+1))</x:f>
      </x:c>
      <x:c r="J30"/>
      <x:c r="K30"/>
      <x:c r="L30"/>
      <x:c r="M30"/>
      <x:c r="N30"/>
      <x:c r="O30"/>
      <x:c r="P30" t="str">
        <x:f>IF(H30="","",IF(J30="Completed",0,H30-Settings!$D$9))</x:f>
      </x:c>
      <x:c r="Q30" t="str">
        <x:f>IF(B30="","",IF(AND(G30&lt;&gt;"",H30&lt;&gt;"",H30&lt;G30),"Check Dates",IF(AND(J30="Completed",OR(L30&lt;&gt;1,O30="")),"Check Completion",IF(J30="Completed","Completed",IF(J30="Blocked","Blocked",IF(J30="On Hold","On Hold",IF(AND(H30&lt;Settings!$D$9,J30&lt;&gt;"Completed"),"Overdue",IF(AND(H30-Settings!$D$9&lt;=7,H30&gt;=Settings!$D$9,J30&lt;&gt;"Completed"),"Due Soon",IF(J30="In Progress","In Progress","Not Started")))))))))</x:f>
      </x:c>
      <x:c r="R30" s="36"/>
    </x:row>
    <x:row r="31" ht="30" customHeight="1">
      <x:c r="B31"/>
      <x:c r="C31"/>
      <x:c r="D31" s="36"/>
      <x:c r="E31" s="36"/>
      <x:c r="F31"/>
      <x:c r="G31"/>
      <x:c r="H31"/>
      <x:c r="I31" t="str">
        <x:f>IF(OR(G31="",H31=""),"",IF(H31&lt;G31,"",H31-G31+1))</x:f>
      </x:c>
      <x:c r="J31"/>
      <x:c r="K31"/>
      <x:c r="L31"/>
      <x:c r="M31"/>
      <x:c r="N31"/>
      <x:c r="O31"/>
      <x:c r="P31" t="str">
        <x:f>IF(H31="","",IF(J31="Completed",0,H31-Settings!$D$9))</x:f>
      </x:c>
      <x:c r="Q31" t="str">
        <x:f>IF(B31="","",IF(AND(G31&lt;&gt;"",H31&lt;&gt;"",H31&lt;G31),"Check Dates",IF(AND(J31="Completed",OR(L31&lt;&gt;1,O31="")),"Check Completion",IF(J31="Completed","Completed",IF(J31="Blocked","Blocked",IF(J31="On Hold","On Hold",IF(AND(H31&lt;Settings!$D$9,J31&lt;&gt;"Completed"),"Overdue",IF(AND(H31-Settings!$D$9&lt;=7,H31&gt;=Settings!$D$9,J31&lt;&gt;"Completed"),"Due Soon",IF(J31="In Progress","In Progress","Not Started")))))))))</x:f>
      </x:c>
      <x:c r="R31" s="36"/>
    </x:row>
    <x:row r="32" ht="30" customHeight="1">
      <x:c r="B32"/>
      <x:c r="C32"/>
      <x:c r="D32" s="36"/>
      <x:c r="E32" s="36"/>
      <x:c r="F32"/>
      <x:c r="G32"/>
      <x:c r="H32"/>
      <x:c r="I32" t="str">
        <x:f>IF(OR(G32="",H32=""),"",IF(H32&lt;G32,"",H32-G32+1))</x:f>
      </x:c>
      <x:c r="J32"/>
      <x:c r="K32"/>
      <x:c r="L32"/>
      <x:c r="M32"/>
      <x:c r="N32"/>
      <x:c r="O32"/>
      <x:c r="P32" t="str">
        <x:f>IF(H32="","",IF(J32="Completed",0,H32-Settings!$D$9))</x:f>
      </x:c>
      <x:c r="Q32" t="str">
        <x:f>IF(B32="","",IF(AND(G32&lt;&gt;"",H32&lt;&gt;"",H32&lt;G32),"Check Dates",IF(AND(J32="Completed",OR(L32&lt;&gt;1,O32="")),"Check Completion",IF(J32="Completed","Completed",IF(J32="Blocked","Blocked",IF(J32="On Hold","On Hold",IF(AND(H32&lt;Settings!$D$9,J32&lt;&gt;"Completed"),"Overdue",IF(AND(H32-Settings!$D$9&lt;=7,H32&gt;=Settings!$D$9,J32&lt;&gt;"Completed"),"Due Soon",IF(J32="In Progress","In Progress","Not Started")))))))))</x:f>
      </x:c>
      <x:c r="R32" s="36"/>
    </x:row>
    <x:row r="33" ht="30" customHeight="1">
      <x:c r="B33"/>
      <x:c r="C33"/>
      <x:c r="D33" s="36"/>
      <x:c r="E33" s="36"/>
      <x:c r="F33"/>
      <x:c r="G33"/>
      <x:c r="H33"/>
      <x:c r="I33" t="str">
        <x:f>IF(OR(G33="",H33=""),"",IF(H33&lt;G33,"",H33-G33+1))</x:f>
      </x:c>
      <x:c r="J33"/>
      <x:c r="K33"/>
      <x:c r="L33"/>
      <x:c r="M33"/>
      <x:c r="N33"/>
      <x:c r="O33"/>
      <x:c r="P33" t="str">
        <x:f>IF(H33="","",IF(J33="Completed",0,H33-Settings!$D$9))</x:f>
      </x:c>
      <x:c r="Q33" t="str">
        <x:f>IF(B33="","",IF(AND(G33&lt;&gt;"",H33&lt;&gt;"",H33&lt;G33),"Check Dates",IF(AND(J33="Completed",OR(L33&lt;&gt;1,O33="")),"Check Completion",IF(J33="Completed","Completed",IF(J33="Blocked","Blocked",IF(J33="On Hold","On Hold",IF(AND(H33&lt;Settings!$D$9,J33&lt;&gt;"Completed"),"Overdue",IF(AND(H33-Settings!$D$9&lt;=7,H33&gt;=Settings!$D$9,J33&lt;&gt;"Completed"),"Due Soon",IF(J33="In Progress","In Progress","Not Started")))))))))</x:f>
      </x:c>
      <x:c r="R33" s="36"/>
    </x:row>
    <x:row r="34" ht="30" customHeight="1">
      <x:c r="B34"/>
      <x:c r="C34"/>
      <x:c r="D34" s="36"/>
      <x:c r="E34" s="36"/>
      <x:c r="F34"/>
      <x:c r="G34"/>
      <x:c r="H34"/>
      <x:c r="I34" t="str">
        <x:f>IF(OR(G34="",H34=""),"",IF(H34&lt;G34,"",H34-G34+1))</x:f>
      </x:c>
      <x:c r="J34"/>
      <x:c r="K34"/>
      <x:c r="L34"/>
      <x:c r="M34"/>
      <x:c r="N34"/>
      <x:c r="O34"/>
      <x:c r="P34" t="str">
        <x:f>IF(H34="","",IF(J34="Completed",0,H34-Settings!$D$9))</x:f>
      </x:c>
      <x:c r="Q34" t="str">
        <x:f>IF(B34="","",IF(AND(G34&lt;&gt;"",H34&lt;&gt;"",H34&lt;G34),"Check Dates",IF(AND(J34="Completed",OR(L34&lt;&gt;1,O34="")),"Check Completion",IF(J34="Completed","Completed",IF(J34="Blocked","Blocked",IF(J34="On Hold","On Hold",IF(AND(H34&lt;Settings!$D$9,J34&lt;&gt;"Completed"),"Overdue",IF(AND(H34-Settings!$D$9&lt;=7,H34&gt;=Settings!$D$9,J34&lt;&gt;"Completed"),"Due Soon",IF(J34="In Progress","In Progress","Not Started")))))))))</x:f>
      </x:c>
      <x:c r="R34" s="36"/>
    </x:row>
    <x:row r="35" ht="30" customHeight="1">
      <x:c r="B35"/>
      <x:c r="C35"/>
      <x:c r="D35" s="36"/>
      <x:c r="E35" s="36"/>
      <x:c r="F35"/>
      <x:c r="G35"/>
      <x:c r="H35"/>
      <x:c r="I35" t="str">
        <x:f>IF(OR(G35="",H35=""),"",IF(H35&lt;G35,"",H35-G35+1))</x:f>
      </x:c>
      <x:c r="J35"/>
      <x:c r="K35"/>
      <x:c r="L35"/>
      <x:c r="M35"/>
      <x:c r="N35"/>
      <x:c r="O35"/>
      <x:c r="P35" t="str">
        <x:f>IF(H35="","",IF(J35="Completed",0,H35-Settings!$D$9))</x:f>
      </x:c>
      <x:c r="Q35" t="str">
        <x:f>IF(B35="","",IF(AND(G35&lt;&gt;"",H35&lt;&gt;"",H35&lt;G35),"Check Dates",IF(AND(J35="Completed",OR(L35&lt;&gt;1,O35="")),"Check Completion",IF(J35="Completed","Completed",IF(J35="Blocked","Blocked",IF(J35="On Hold","On Hold",IF(AND(H35&lt;Settings!$D$9,J35&lt;&gt;"Completed"),"Overdue",IF(AND(H35-Settings!$D$9&lt;=7,H35&gt;=Settings!$D$9,J35&lt;&gt;"Completed"),"Due Soon",IF(J35="In Progress","In Progress","Not Started")))))))))</x:f>
      </x:c>
      <x:c r="R35" s="36"/>
    </x:row>
    <x:row r="36" ht="30" customHeight="1">
      <x:c r="B36"/>
      <x:c r="C36"/>
      <x:c r="D36" s="36"/>
      <x:c r="E36" s="36"/>
      <x:c r="F36"/>
      <x:c r="G36"/>
      <x:c r="H36"/>
      <x:c r="I36" t="str">
        <x:f>IF(OR(G36="",H36=""),"",IF(H36&lt;G36,"",H36-G36+1))</x:f>
      </x:c>
      <x:c r="J36"/>
      <x:c r="K36"/>
      <x:c r="L36"/>
      <x:c r="M36"/>
      <x:c r="N36"/>
      <x:c r="O36"/>
      <x:c r="P36" t="str">
        <x:f>IF(H36="","",IF(J36="Completed",0,H36-Settings!$D$9))</x:f>
      </x:c>
      <x:c r="Q36" t="str">
        <x:f>IF(B36="","",IF(AND(G36&lt;&gt;"",H36&lt;&gt;"",H36&lt;G36),"Check Dates",IF(AND(J36="Completed",OR(L36&lt;&gt;1,O36="")),"Check Completion",IF(J36="Completed","Completed",IF(J36="Blocked","Blocked",IF(J36="On Hold","On Hold",IF(AND(H36&lt;Settings!$D$9,J36&lt;&gt;"Completed"),"Overdue",IF(AND(H36-Settings!$D$9&lt;=7,H36&gt;=Settings!$D$9,J36&lt;&gt;"Completed"),"Due Soon",IF(J36="In Progress","In Progress","Not Started")))))))))</x:f>
      </x:c>
      <x:c r="R36" s="36"/>
    </x:row>
    <x:row r="37" ht="30" customHeight="1">
      <x:c r="B37"/>
      <x:c r="C37"/>
      <x:c r="D37" s="36"/>
      <x:c r="E37" s="36"/>
      <x:c r="F37"/>
      <x:c r="G37"/>
      <x:c r="H37"/>
      <x:c r="I37" t="str">
        <x:f>IF(OR(G37="",H37=""),"",IF(H37&lt;G37,"",H37-G37+1))</x:f>
      </x:c>
      <x:c r="J37"/>
      <x:c r="K37"/>
      <x:c r="L37"/>
      <x:c r="M37"/>
      <x:c r="N37"/>
      <x:c r="O37"/>
      <x:c r="P37" t="str">
        <x:f>IF(H37="","",IF(J37="Completed",0,H37-Settings!$D$9))</x:f>
      </x:c>
      <x:c r="Q37" t="str">
        <x:f>IF(B37="","",IF(AND(G37&lt;&gt;"",H37&lt;&gt;"",H37&lt;G37),"Check Dates",IF(AND(J37="Completed",OR(L37&lt;&gt;1,O37="")),"Check Completion",IF(J37="Completed","Completed",IF(J37="Blocked","Blocked",IF(J37="On Hold","On Hold",IF(AND(H37&lt;Settings!$D$9,J37&lt;&gt;"Completed"),"Overdue",IF(AND(H37-Settings!$D$9&lt;=7,H37&gt;=Settings!$D$9,J37&lt;&gt;"Completed"),"Due Soon",IF(J37="In Progress","In Progress","Not Started")))))))))</x:f>
      </x:c>
      <x:c r="R37" s="36"/>
    </x:row>
    <x:row r="38" ht="30" customHeight="1">
      <x:c r="B38"/>
      <x:c r="C38"/>
      <x:c r="D38" s="36"/>
      <x:c r="E38" s="36"/>
      <x:c r="F38"/>
      <x:c r="G38"/>
      <x:c r="H38"/>
      <x:c r="I38" t="str">
        <x:f>IF(OR(G38="",H38=""),"",IF(H38&lt;G38,"",H38-G38+1))</x:f>
      </x:c>
      <x:c r="J38"/>
      <x:c r="K38"/>
      <x:c r="L38"/>
      <x:c r="M38"/>
      <x:c r="N38"/>
      <x:c r="O38"/>
      <x:c r="P38" t="str">
        <x:f>IF(H38="","",IF(J38="Completed",0,H38-Settings!$D$9))</x:f>
      </x:c>
      <x:c r="Q38" t="str">
        <x:f>IF(B38="","",IF(AND(G38&lt;&gt;"",H38&lt;&gt;"",H38&lt;G38),"Check Dates",IF(AND(J38="Completed",OR(L38&lt;&gt;1,O38="")),"Check Completion",IF(J38="Completed","Completed",IF(J38="Blocked","Blocked",IF(J38="On Hold","On Hold",IF(AND(H38&lt;Settings!$D$9,J38&lt;&gt;"Completed"),"Overdue",IF(AND(H38-Settings!$D$9&lt;=7,H38&gt;=Settings!$D$9,J38&lt;&gt;"Completed"),"Due Soon",IF(J38="In Progress","In Progress","Not Started")))))))))</x:f>
      </x:c>
      <x:c r="R38" s="36"/>
    </x:row>
    <x:row r="39" ht="30" customHeight="1">
      <x:c r="B39"/>
      <x:c r="C39"/>
      <x:c r="D39" s="36"/>
      <x:c r="E39" s="36"/>
      <x:c r="F39"/>
      <x:c r="G39"/>
      <x:c r="H39"/>
      <x:c r="I39" t="str">
        <x:f>IF(OR(G39="",H39=""),"",IF(H39&lt;G39,"",H39-G39+1))</x:f>
      </x:c>
      <x:c r="J39"/>
      <x:c r="K39"/>
      <x:c r="L39"/>
      <x:c r="M39"/>
      <x:c r="N39"/>
      <x:c r="O39"/>
      <x:c r="P39" t="str">
        <x:f>IF(H39="","",IF(J39="Completed",0,H39-Settings!$D$9))</x:f>
      </x:c>
      <x:c r="Q39" t="str">
        <x:f>IF(B39="","",IF(AND(G39&lt;&gt;"",H39&lt;&gt;"",H39&lt;G39),"Check Dates",IF(AND(J39="Completed",OR(L39&lt;&gt;1,O39="")),"Check Completion",IF(J39="Completed","Completed",IF(J39="Blocked","Blocked",IF(J39="On Hold","On Hold",IF(AND(H39&lt;Settings!$D$9,J39&lt;&gt;"Completed"),"Overdue",IF(AND(H39-Settings!$D$9&lt;=7,H39&gt;=Settings!$D$9,J39&lt;&gt;"Completed"),"Due Soon",IF(J39="In Progress","In Progress","Not Started")))))))))</x:f>
      </x:c>
      <x:c r="R39" s="36"/>
    </x:row>
    <x:row r="40" ht="30" customHeight="1">
      <x:c r="B40"/>
      <x:c r="C40"/>
      <x:c r="D40" s="36"/>
      <x:c r="E40" s="36"/>
      <x:c r="F40"/>
      <x:c r="G40"/>
      <x:c r="H40"/>
      <x:c r="I40" t="str">
        <x:f>IF(OR(G40="",H40=""),"",IF(H40&lt;G40,"",H40-G40+1))</x:f>
      </x:c>
      <x:c r="J40"/>
      <x:c r="K40"/>
      <x:c r="L40"/>
      <x:c r="M40"/>
      <x:c r="N40"/>
      <x:c r="O40"/>
      <x:c r="P40" t="str">
        <x:f>IF(H40="","",IF(J40="Completed",0,H40-Settings!$D$9))</x:f>
      </x:c>
      <x:c r="Q40" t="str">
        <x:f>IF(B40="","",IF(AND(G40&lt;&gt;"",H40&lt;&gt;"",H40&lt;G40),"Check Dates",IF(AND(J40="Completed",OR(L40&lt;&gt;1,O40="")),"Check Completion",IF(J40="Completed","Completed",IF(J40="Blocked","Blocked",IF(J40="On Hold","On Hold",IF(AND(H40&lt;Settings!$D$9,J40&lt;&gt;"Completed"),"Overdue",IF(AND(H40-Settings!$D$9&lt;=7,H40&gt;=Settings!$D$9,J40&lt;&gt;"Completed"),"Due Soon",IF(J40="In Progress","In Progress","Not Started")))))))))</x:f>
      </x:c>
      <x:c r="R40" s="36"/>
    </x:row>
    <x:row r="41" ht="30" customHeight="1">
      <x:c r="B41"/>
      <x:c r="C41"/>
      <x:c r="D41" s="36"/>
      <x:c r="E41" s="36"/>
      <x:c r="F41"/>
      <x:c r="G41"/>
      <x:c r="H41"/>
      <x:c r="I41" t="str">
        <x:f>IF(OR(G41="",H41=""),"",IF(H41&lt;G41,"",H41-G41+1))</x:f>
      </x:c>
      <x:c r="J41"/>
      <x:c r="K41"/>
      <x:c r="L41"/>
      <x:c r="M41"/>
      <x:c r="N41"/>
      <x:c r="O41"/>
      <x:c r="P41" t="str">
        <x:f>IF(H41="","",IF(J41="Completed",0,H41-Settings!$D$9))</x:f>
      </x:c>
      <x:c r="Q41" t="str">
        <x:f>IF(B41="","",IF(AND(G41&lt;&gt;"",H41&lt;&gt;"",H41&lt;G41),"Check Dates",IF(AND(J41="Completed",OR(L41&lt;&gt;1,O41="")),"Check Completion",IF(J41="Completed","Completed",IF(J41="Blocked","Blocked",IF(J41="On Hold","On Hold",IF(AND(H41&lt;Settings!$D$9,J41&lt;&gt;"Completed"),"Overdue",IF(AND(H41-Settings!$D$9&lt;=7,H41&gt;=Settings!$D$9,J41&lt;&gt;"Completed"),"Due Soon",IF(J41="In Progress","In Progress","Not Started")))))))))</x:f>
      </x:c>
      <x:c r="R41" s="36"/>
    </x:row>
    <x:row r="42" ht="30" customHeight="1">
      <x:c r="B42"/>
      <x:c r="C42"/>
      <x:c r="D42" s="36"/>
      <x:c r="E42" s="36"/>
      <x:c r="F42"/>
      <x:c r="G42"/>
      <x:c r="H42"/>
      <x:c r="I42" t="str">
        <x:f>IF(OR(G42="",H42=""),"",IF(H42&lt;G42,"",H42-G42+1))</x:f>
      </x:c>
      <x:c r="J42"/>
      <x:c r="K42"/>
      <x:c r="L42"/>
      <x:c r="M42"/>
      <x:c r="N42"/>
      <x:c r="O42"/>
      <x:c r="P42" t="str">
        <x:f>IF(H42="","",IF(J42="Completed",0,H42-Settings!$D$9))</x:f>
      </x:c>
      <x:c r="Q42" t="str">
        <x:f>IF(B42="","",IF(AND(G42&lt;&gt;"",H42&lt;&gt;"",H42&lt;G42),"Check Dates",IF(AND(J42="Completed",OR(L42&lt;&gt;1,O42="")),"Check Completion",IF(J42="Completed","Completed",IF(J42="Blocked","Blocked",IF(J42="On Hold","On Hold",IF(AND(H42&lt;Settings!$D$9,J42&lt;&gt;"Completed"),"Overdue",IF(AND(H42-Settings!$D$9&lt;=7,H42&gt;=Settings!$D$9,J42&lt;&gt;"Completed"),"Due Soon",IF(J42="In Progress","In Progress","Not Started")))))))))</x:f>
      </x:c>
      <x:c r="R42" s="36"/>
    </x:row>
    <x:row r="43" ht="30" customHeight="1">
      <x:c r="B43"/>
      <x:c r="C43"/>
      <x:c r="D43" s="36"/>
      <x:c r="E43" s="36"/>
      <x:c r="F43"/>
      <x:c r="G43"/>
      <x:c r="H43"/>
      <x:c r="I43" t="str">
        <x:f>IF(OR(G43="",H43=""),"",IF(H43&lt;G43,"",H43-G43+1))</x:f>
      </x:c>
      <x:c r="J43"/>
      <x:c r="K43"/>
      <x:c r="L43"/>
      <x:c r="M43"/>
      <x:c r="N43"/>
      <x:c r="O43"/>
      <x:c r="P43" t="str">
        <x:f>IF(H43="","",IF(J43="Completed",0,H43-Settings!$D$9))</x:f>
      </x:c>
      <x:c r="Q43" t="str">
        <x:f>IF(B43="","",IF(AND(G43&lt;&gt;"",H43&lt;&gt;"",H43&lt;G43),"Check Dates",IF(AND(J43="Completed",OR(L43&lt;&gt;1,O43="")),"Check Completion",IF(J43="Completed","Completed",IF(J43="Blocked","Blocked",IF(J43="On Hold","On Hold",IF(AND(H43&lt;Settings!$D$9,J43&lt;&gt;"Completed"),"Overdue",IF(AND(H43-Settings!$D$9&lt;=7,H43&gt;=Settings!$D$9,J43&lt;&gt;"Completed"),"Due Soon",IF(J43="In Progress","In Progress","Not Started")))))))))</x:f>
      </x:c>
      <x:c r="R43" s="36"/>
    </x:row>
    <x:row r="44" ht="30" customHeight="1">
      <x:c r="B44"/>
      <x:c r="C44"/>
      <x:c r="D44" s="36"/>
      <x:c r="E44" s="36"/>
      <x:c r="F44"/>
      <x:c r="G44"/>
      <x:c r="H44"/>
      <x:c r="I44" t="str">
        <x:f>IF(OR(G44="",H44=""),"",IF(H44&lt;G44,"",H44-G44+1))</x:f>
      </x:c>
      <x:c r="J44"/>
      <x:c r="K44"/>
      <x:c r="L44"/>
      <x:c r="M44"/>
      <x:c r="N44"/>
      <x:c r="O44"/>
      <x:c r="P44" t="str">
        <x:f>IF(H44="","",IF(J44="Completed",0,H44-Settings!$D$9))</x:f>
      </x:c>
      <x:c r="Q44" t="str">
        <x:f>IF(B44="","",IF(AND(G44&lt;&gt;"",H44&lt;&gt;"",H44&lt;G44),"Check Dates",IF(AND(J44="Completed",OR(L44&lt;&gt;1,O44="")),"Check Completion",IF(J44="Completed","Completed",IF(J44="Blocked","Blocked",IF(J44="On Hold","On Hold",IF(AND(H44&lt;Settings!$D$9,J44&lt;&gt;"Completed"),"Overdue",IF(AND(H44-Settings!$D$9&lt;=7,H44&gt;=Settings!$D$9,J44&lt;&gt;"Completed"),"Due Soon",IF(J44="In Progress","In Progress","Not Started")))))))))</x:f>
      </x:c>
      <x:c r="R44" s="36"/>
    </x:row>
    <x:row r="45" ht="30" customHeight="1">
      <x:c r="B45"/>
      <x:c r="C45"/>
      <x:c r="D45" s="36"/>
      <x:c r="E45" s="36"/>
      <x:c r="F45"/>
      <x:c r="G45"/>
      <x:c r="H45"/>
      <x:c r="I45" t="str">
        <x:f>IF(OR(G45="",H45=""),"",IF(H45&lt;G45,"",H45-G45+1))</x:f>
      </x:c>
      <x:c r="J45"/>
      <x:c r="K45"/>
      <x:c r="L45"/>
      <x:c r="M45"/>
      <x:c r="N45"/>
      <x:c r="O45"/>
      <x:c r="P45" t="str">
        <x:f>IF(H45="","",IF(J45="Completed",0,H45-Settings!$D$9))</x:f>
      </x:c>
      <x:c r="Q45" t="str">
        <x:f>IF(B45="","",IF(AND(G45&lt;&gt;"",H45&lt;&gt;"",H45&lt;G45),"Check Dates",IF(AND(J45="Completed",OR(L45&lt;&gt;1,O45="")),"Check Completion",IF(J45="Completed","Completed",IF(J45="Blocked","Blocked",IF(J45="On Hold","On Hold",IF(AND(H45&lt;Settings!$D$9,J45&lt;&gt;"Completed"),"Overdue",IF(AND(H45-Settings!$D$9&lt;=7,H45&gt;=Settings!$D$9,J45&lt;&gt;"Completed"),"Due Soon",IF(J45="In Progress","In Progress","Not Started")))))))))</x:f>
      </x:c>
      <x:c r="R45" s="36"/>
    </x:row>
    <x:row r="46" ht="30" customHeight="1">
      <x:c r="B46"/>
      <x:c r="C46"/>
      <x:c r="D46" s="36"/>
      <x:c r="E46" s="36"/>
      <x:c r="F46"/>
      <x:c r="G46"/>
      <x:c r="H46"/>
      <x:c r="I46" t="str">
        <x:f>IF(OR(G46="",H46=""),"",IF(H46&lt;G46,"",H46-G46+1))</x:f>
      </x:c>
      <x:c r="J46"/>
      <x:c r="K46"/>
      <x:c r="L46"/>
      <x:c r="M46"/>
      <x:c r="N46"/>
      <x:c r="O46"/>
      <x:c r="P46" t="str">
        <x:f>IF(H46="","",IF(J46="Completed",0,H46-Settings!$D$9))</x:f>
      </x:c>
      <x:c r="Q46" t="str">
        <x:f>IF(B46="","",IF(AND(G46&lt;&gt;"",H46&lt;&gt;"",H46&lt;G46),"Check Dates",IF(AND(J46="Completed",OR(L46&lt;&gt;1,O46="")),"Check Completion",IF(J46="Completed","Completed",IF(J46="Blocked","Blocked",IF(J46="On Hold","On Hold",IF(AND(H46&lt;Settings!$D$9,J46&lt;&gt;"Completed"),"Overdue",IF(AND(H46-Settings!$D$9&lt;=7,H46&gt;=Settings!$D$9,J46&lt;&gt;"Completed"),"Due Soon",IF(J46="In Progress","In Progress","Not Started")))))))))</x:f>
      </x:c>
      <x:c r="R46" s="36"/>
    </x:row>
    <x:row r="47" ht="30" customHeight="1">
      <x:c r="B47"/>
      <x:c r="C47"/>
      <x:c r="D47" s="36"/>
      <x:c r="E47" s="36"/>
      <x:c r="F47"/>
      <x:c r="G47"/>
      <x:c r="H47"/>
      <x:c r="I47" t="str">
        <x:f>IF(OR(G47="",H47=""),"",IF(H47&lt;G47,"",H47-G47+1))</x:f>
      </x:c>
      <x:c r="J47"/>
      <x:c r="K47"/>
      <x:c r="L47"/>
      <x:c r="M47"/>
      <x:c r="N47"/>
      <x:c r="O47"/>
      <x:c r="P47" t="str">
        <x:f>IF(H47="","",IF(J47="Completed",0,H47-Settings!$D$9))</x:f>
      </x:c>
      <x:c r="Q47" t="str">
        <x:f>IF(B47="","",IF(AND(G47&lt;&gt;"",H47&lt;&gt;"",H47&lt;G47),"Check Dates",IF(AND(J47="Completed",OR(L47&lt;&gt;1,O47="")),"Check Completion",IF(J47="Completed","Completed",IF(J47="Blocked","Blocked",IF(J47="On Hold","On Hold",IF(AND(H47&lt;Settings!$D$9,J47&lt;&gt;"Completed"),"Overdue",IF(AND(H47-Settings!$D$9&lt;=7,H47&gt;=Settings!$D$9,J47&lt;&gt;"Completed"),"Due Soon",IF(J47="In Progress","In Progress","Not Started")))))))))</x:f>
      </x:c>
      <x:c r="R47" s="36"/>
    </x:row>
    <x:row r="48" ht="30" customHeight="1">
      <x:c r="B48"/>
      <x:c r="C48"/>
      <x:c r="D48" s="36"/>
      <x:c r="E48" s="36"/>
      <x:c r="F48"/>
      <x:c r="G48"/>
      <x:c r="H48"/>
      <x:c r="I48" t="str">
        <x:f>IF(OR(G48="",H48=""),"",IF(H48&lt;G48,"",H48-G48+1))</x:f>
      </x:c>
      <x:c r="J48"/>
      <x:c r="K48"/>
      <x:c r="L48"/>
      <x:c r="M48"/>
      <x:c r="N48"/>
      <x:c r="O48"/>
      <x:c r="P48" t="str">
        <x:f>IF(H48="","",IF(J48="Completed",0,H48-Settings!$D$9))</x:f>
      </x:c>
      <x:c r="Q48" t="str">
        <x:f>IF(B48="","",IF(AND(G48&lt;&gt;"",H48&lt;&gt;"",H48&lt;G48),"Check Dates",IF(AND(J48="Completed",OR(L48&lt;&gt;1,O48="")),"Check Completion",IF(J48="Completed","Completed",IF(J48="Blocked","Blocked",IF(J48="On Hold","On Hold",IF(AND(H48&lt;Settings!$D$9,J48&lt;&gt;"Completed"),"Overdue",IF(AND(H48-Settings!$D$9&lt;=7,H48&gt;=Settings!$D$9,J48&lt;&gt;"Completed"),"Due Soon",IF(J48="In Progress","In Progress","Not Started")))))))))</x:f>
      </x:c>
      <x:c r="R48" s="36"/>
    </x:row>
    <x:row r="49" ht="30" customHeight="1">
      <x:c r="B49"/>
      <x:c r="C49"/>
      <x:c r="D49" s="36"/>
      <x:c r="E49" s="36"/>
      <x:c r="F49"/>
      <x:c r="G49"/>
      <x:c r="H49"/>
      <x:c r="I49" t="str">
        <x:f>IF(OR(G49="",H49=""),"",IF(H49&lt;G49,"",H49-G49+1))</x:f>
      </x:c>
      <x:c r="J49"/>
      <x:c r="K49"/>
      <x:c r="L49"/>
      <x:c r="M49"/>
      <x:c r="N49"/>
      <x:c r="O49"/>
      <x:c r="P49" t="str">
        <x:f>IF(H49="","",IF(J49="Completed",0,H49-Settings!$D$9))</x:f>
      </x:c>
      <x:c r="Q49" t="str">
        <x:f>IF(B49="","",IF(AND(G49&lt;&gt;"",H49&lt;&gt;"",H49&lt;G49),"Check Dates",IF(AND(J49="Completed",OR(L49&lt;&gt;1,O49="")),"Check Completion",IF(J49="Completed","Completed",IF(J49="Blocked","Blocked",IF(J49="On Hold","On Hold",IF(AND(H49&lt;Settings!$D$9,J49&lt;&gt;"Completed"),"Overdue",IF(AND(H49-Settings!$D$9&lt;=7,H49&gt;=Settings!$D$9,J49&lt;&gt;"Completed"),"Due Soon",IF(J49="In Progress","In Progress","Not Started")))))))))</x:f>
      </x:c>
      <x:c r="R49" s="36"/>
    </x:row>
    <x:row r="50" ht="30" customHeight="1">
      <x:c r="B50"/>
      <x:c r="C50"/>
      <x:c r="D50" s="36"/>
      <x:c r="E50" s="36"/>
      <x:c r="F50"/>
      <x:c r="G50"/>
      <x:c r="H50"/>
      <x:c r="I50" t="str">
        <x:f>IF(OR(G50="",H50=""),"",IF(H50&lt;G50,"",H50-G50+1))</x:f>
      </x:c>
      <x:c r="J50"/>
      <x:c r="K50"/>
      <x:c r="L50"/>
      <x:c r="M50"/>
      <x:c r="N50"/>
      <x:c r="O50"/>
      <x:c r="P50" t="str">
        <x:f>IF(H50="","",IF(J50="Completed",0,H50-Settings!$D$9))</x:f>
      </x:c>
      <x:c r="Q50" t="str">
        <x:f>IF(B50="","",IF(AND(G50&lt;&gt;"",H50&lt;&gt;"",H50&lt;G50),"Check Dates",IF(AND(J50="Completed",OR(L50&lt;&gt;1,O50="")),"Check Completion",IF(J50="Completed","Completed",IF(J50="Blocked","Blocked",IF(J50="On Hold","On Hold",IF(AND(H50&lt;Settings!$D$9,J50&lt;&gt;"Completed"),"Overdue",IF(AND(H50-Settings!$D$9&lt;=7,H50&gt;=Settings!$D$9,J50&lt;&gt;"Completed"),"Due Soon",IF(J50="In Progress","In Progress","Not Started")))))))))</x:f>
      </x:c>
      <x:c r="R50" s="36"/>
    </x:row>
  </x:sheetData>
  <x:mergeCells>
    <x:mergeCell ref="B2:R2"/>
  </x:mergeCells>
  <x:conditionalFormatting sqref="H10:H50">
    <x:cfRule type="expression" dxfId="10" priority="6">
      <x:formula>AND(H10&lt;&gt;"", G10&lt;&gt;"", H10&lt;G10)</x:formula>
    </x:cfRule>
  </x:conditionalFormatting>
  <x:conditionalFormatting sqref="K10:K50">
    <x:cfRule type="cellIs" dxfId="9" priority="5" operator="equal">
      <x:formula>"Critical"</x:formula>
    </x:cfRule>
  </x:conditionalFormatting>
  <x:conditionalFormatting sqref="Q10:Q50">
    <x:cfRule type="cellIs" dxfId="9" priority="1" operator="equal">
      <x:formula>"Overdue"</x:formula>
    </x:cfRule>
    <x:cfRule type="cellIs" dxfId="10" priority="2" operator="equal">
      <x:formula>"Blocked"</x:formula>
    </x:cfRule>
    <x:cfRule type="cellIs" dxfId="11" priority="3" operator="equal">
      <x:formula>"Due Soon"</x:formula>
    </x:cfRule>
    <x:cfRule type="cellIs" dxfId="12" priority="4" operator="equal">
      <x:formula>"Completed"</x:formula>
    </x:cfRule>
    <x:cfRule type="cellIs" dxfId="13" priority="7" operator="equal">
      <x:formula>"Check Dates"</x:formula>
    </x:cfRule>
    <x:cfRule type="cellIs" dxfId="14" priority="8" operator="equal">
      <x:formula>"Check Completion"</x:formula>
    </x:cfRule>
  </x:conditionalFormatting>
  <x:conditionalFormatting sqref="L10:O50">
    <x:cfRule type="expression" dxfId="15" priority="9">
      <x:formula>AND($B10&lt;&gt;"",$J10="Completed",OR($L10&lt;&gt;1,$O10=""))</x:formula>
    </x:cfRule>
  </x:conditionalFormatting>
  <x:conditionalFormatting sqref="B10:B50">
    <x:cfRule type="expression" dxfId="16" priority="10">
      <x:formula>AND(B10&lt;&gt;"",COUNTIF($B$10:$B$50,B10)&gt;1)</x:formula>
    </x:cfRule>
  </x:conditionalFormatting>
  <x:dataValidations count="7">
    <x:dataValidation type="list" allowBlank="1" showInputMessage="1" showErrorMessage="1" errorTitle="Invalid Phase" error="Please select a valid Project Phase from the dropdown list." sqref="C10:C50">
      <x:formula1>Settings!$F$9:$F$14</x:formula1>
    </x:dataValidation>
    <x:dataValidation type="list" allowBlank="1" showInputMessage="1" showErrorMessage="1" errorTitle="Invalid Owner" error="Please select an authorized Team Member from the dropdown list." sqref="F10:F50">
      <x:formula1>Settings!$G$9:$G$13</x:formula1>
    </x:dataValidation>
    <x:dataValidation type="list" allowBlank="1" showInputMessage="1" showErrorMessage="1" errorTitle="Invalid Status" error="Please select: Not Started, In Progress, Blocked, Completed, or On Hold." sqref="J10:J50">
      <x:formula1>Settings!$H$9:$H$13</x:formula1>
    </x:dataValidation>
    <x:dataValidation type="list" allowBlank="1" showInputMessage="1" showErrorMessage="1" errorTitle="Invalid Priority" error="Please select: Low, Medium, High, or Critical." sqref="K10:K50">
      <x:formula1>Settings!$I$9:$I$12</x:formula1>
    </x:dataValidation>
    <x:dataValidation type="list" allowBlank="1" showInputMessage="1" showErrorMessage="1" errorTitle="Invalid Milestone Flag" error="Please select Yes or No." sqref="N10:N50">
      <x:formula1>Settings!$J$9:$J$10</x:formula1>
    </x:dataValidation>
    <x:dataValidation type="decimal" allowBlank="1" showInputMessage="1" showErrorMessage="1" errorTitle="Invalid Completion %" error="Completion percentage must be between 0% and 100%." sqref="L10:L50">
      <x:formula1>0.0</x:formula1>
      <x:formula2>1.0</x:formula2>
    </x:dataValidation>
    <x:dataValidation type="custom" sqref="H10:H50">
      <x:formula1>OR(H10="",G10="",H10&gt;=G10)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32a0b5918ce4251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.7109375" customWidth="1"/>
    <x:col min="2" max="2" width="14.7109375" customWidth="1"/>
    <x:col min="3" max="3" width="34" hidden="0" customWidth="1"/>
    <x:col min="4" max="4" width="14.7109375" customWidth="1"/>
    <x:col min="5" max="5" width="15.7109375" customWidth="1"/>
    <x:col min="6" max="6" width="13.7109375" customWidth="1"/>
    <x:col min="7" max="8" width="14.7109375" customWidth="1"/>
    <x:col min="9" max="9" width="15.7109375" customWidth="1"/>
    <x:col min="10" max="10" width="48" hidden="0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B3" s="3" t="s">
        <x:v>1</x:v>
      </x:c>
      <x:c r="C3" s="3" t="s">
        <x:v>2</x:v>
      </x:c>
      <x:c r="D3" s="3" t="s">
        <x:v>3</x:v>
      </x:c>
      <x:c r="E3" s="2" t="s">
        <x:v>4</x:v>
      </x:c>
      <x:c r="F3" s="3" t="s">
        <x:v>5</x:v>
      </x:c>
      <x:c r="G3" s="3" t="s">
        <x:v>6</x:v>
      </x:c>
    </x:row>
    <x:row r="4">
      <x:c r="B4" s="4" t="s">
        <x:v>153</x:v>
      </x:c>
    </x:row>
    <x:row r="5">
      <x:c r="B5" s="5" t="s">
        <x:v>154</x:v>
      </x:c>
    </x:row>
    <x:row r="7">
      <x:c r="B7" s="10" t="s">
        <x:v>155</x:v>
      </x:c>
      <x:c r="C7" s="10"/>
      <x:c r="D7" s="10" t="s">
        <x:v>156</x:v>
      </x:c>
      <x:c r="E7" s="10"/>
      <x:c r="F7" s="10" t="s">
        <x:v>157</x:v>
      </x:c>
      <x:c r="G7" s="10"/>
      <x:c r="H7" s="10" t="s">
        <x:v>158</x:v>
      </x:c>
      <x:c r="I7" s="10"/>
    </x:row>
    <x:row r="8">
      <x:c r="B8" s="12" t="n">
        <x:f>COUNTIF(tblTasks[Milestone], "Yes")</x:f>
        <x:v>6</x:v>
      </x:c>
      <x:c r="C8" s="12"/>
      <x:c r="D8" s="13" t="n">
        <x:f>COUNTIFS(tblTasks[Milestone], "Yes", tblTasks[Status], "Completed")</x:f>
        <x:v>2</x:v>
      </x:c>
      <x:c r="E8" s="13"/>
      <x:c r="F8" s="16" t="n">
        <x:f>COUNTIFS(tblTasks[Milestone], "Yes", tblTasks[Status], "&lt;&gt;Completed")</x:f>
        <x:v>4</x:v>
      </x:c>
      <x:c r="G8" s="16"/>
      <x:c r="H8" s="18" t="n">
        <x:f>COUNTIFS(tblTasks[Milestone], "Yes", tblTasks[Status], "Completed")/MAX(1, COUNTIF(tblTasks[Milestone], "Yes"))</x:f>
        <x:v>0.3333333333333333</x:v>
      </x:c>
      <x:c r="I8" s="18"/>
    </x:row>
    <x:row r="11">
      <x:c r="B11" s="11" t="s">
        <x:v>42</x:v>
      </x:c>
      <x:c r="C11" s="28" t="s">
        <x:v>43</x:v>
      </x:c>
      <x:c r="D11" s="20" t="s">
        <x:v>34</x:v>
      </x:c>
      <x:c r="E11" s="20" t="s">
        <x:v>36</x:v>
      </x:c>
      <x:c r="F11" s="20" t="s">
        <x:v>44</x:v>
      </x:c>
      <x:c r="G11" s="20" t="s">
        <x:v>38</x:v>
      </x:c>
      <x:c r="H11" s="20" t="s">
        <x:v>45</x:v>
      </x:c>
      <x:c r="I11" s="20" t="s">
        <x:v>46</x:v>
      </x:c>
      <x:c r="J11" s="28" t="s">
        <x:v>159</x:v>
      </x:c>
    </x:row>
    <x:row r="12" ht="28" customHeight="1">
      <x:c r="B12" s="21" t="str">
        <x:f>IF(C12="","","M-"&amp;TEXT(1,"00"))</x:f>
        <x:v>M-01</x:v>
      </x:c>
      <x:c r="C12" s="48" t="str">
        <x:f>IF(SMALL(Settings!$V$9:$V$49,1)&gt;=1E+99,"",IFERROR(INDEX(tblTasks[Task Name],MATCH(SMALL(Settings!$V$9:$V$49,1),Settings!$V$9:$V$49,0)),""))</x:f>
        <x:v>Discovery Phase Approval Sign-off</x:v>
      </x:c>
      <x:c r="D12" s="22" t="str">
        <x:f>IF($C12="","",INDEX(tblTasks[Phase],MATCH(SMALL(Settings!$V$9:$V$49,1),Settings!$V$9:$V$49,0)))</x:f>
        <x:v>Discovery</x:v>
      </x:c>
      <x:c r="E12" s="23" t="str">
        <x:f>IF($C12="","",INDEX(tblTasks[Owner],MATCH(SMALL(Settings!$V$9:$V$49,1),Settings!$V$9:$V$49,0)))</x:f>
        <x:v>Alex Morgan</x:v>
      </x:c>
      <x:c r="F12" s="24" t="n">
        <x:f>IF($C12="","",INDEX(tblTasks[End Date],MATCH(SMALL(Settings!$V$9:$V$49,1),Settings!$V$9:$V$49,0)))</x:f>
        <x:v>46311</x:v>
      </x:c>
      <x:c r="G12" s="22" t="str">
        <x:f>IF($C12="","",INDEX(tblTasks[Status],MATCH(SMALL(Settings!$V$9:$V$49,1),Settings!$V$9:$V$49,0)))</x:f>
        <x:v>Completed</x:v>
      </x:c>
      <x:c r="H12" s="25" t="n">
        <x:f>IF($C12="","",INDEX(tblTasks[Completion %],MATCH(SMALL(Settings!$V$9:$V$49,1),Settings!$V$9:$V$49,0)))</x:f>
        <x:v>1</x:v>
      </x:c>
      <x:c r="I12" s="26" t="n">
        <x:f>IF($C12="","",INDEX(tblTasks[Days Remaining],MATCH(SMALL(Settings!$V$9:$V$49,1),Settings!$V$9:$V$49,0)))</x:f>
        <x:v>0</x:v>
      </x:c>
      <x:c r="J12" s="48" t="str">
        <x:f>IF($C12="","",INDEX(tblTasks[Notes],MATCH(SMALL(Settings!$V$9:$V$49,1),Settings!$V$9:$V$49,0)))</x:f>
        <x:v>Formal sign-off milestone achieved.</x:v>
      </x:c>
    </x:row>
    <x:row r="13" ht="28" customHeight="1">
      <x:c r="B13" s="21" t="str">
        <x:f>IF(C13="","","M-"&amp;TEXT(2,"00"))</x:f>
        <x:v>M-02</x:v>
      </x:c>
      <x:c r="C13" s="48" t="str">
        <x:f>IF(SMALL(Settings!$V$9:$V$49,2)&gt;=1E+99,"",IFERROR(INDEX(tblTasks[Task Name],MATCH(SMALL(Settings!$V$9:$V$49,2),Settings!$V$9:$V$49,0)),""))</x:f>
        <x:v>Project Roadmap &amp; Resource Allocation</x:v>
      </x:c>
      <x:c r="D13" s="22" t="str">
        <x:f>IF($C13="","",INDEX(tblTasks[Phase],MATCH(SMALL(Settings!$V$9:$V$49,2),Settings!$V$9:$V$49,0)))</x:f>
        <x:v>Planning</x:v>
      </x:c>
      <x:c r="E13" s="23" t="str">
        <x:f>IF($C13="","",INDEX(tblTasks[Owner],MATCH(SMALL(Settings!$V$9:$V$49,2),Settings!$V$9:$V$49,0)))</x:f>
        <x:v>Alex Morgan</x:v>
      </x:c>
      <x:c r="F13" s="24" t="n">
        <x:f>IF($C13="","",INDEX(tblTasks[End Date],MATCH(SMALL(Settings!$V$9:$V$49,2),Settings!$V$9:$V$49,0)))</x:f>
        <x:v>46330</x:v>
      </x:c>
      <x:c r="G13" s="22" t="str">
        <x:f>IF($C13="","",INDEX(tblTasks[Status],MATCH(SMALL(Settings!$V$9:$V$49,2),Settings!$V$9:$V$49,0)))</x:f>
        <x:v>Completed</x:v>
      </x:c>
      <x:c r="H13" s="25" t="n">
        <x:f>IF($C13="","",INDEX(tblTasks[Completion %],MATCH(SMALL(Settings!$V$9:$V$49,2),Settings!$V$9:$V$49,0)))</x:f>
        <x:v>1</x:v>
      </x:c>
      <x:c r="I13" s="26" t="n">
        <x:f>IF($C13="","",INDEX(tblTasks[Days Remaining],MATCH(SMALL(Settings!$V$9:$V$49,2),Settings!$V$9:$V$49,0)))</x:f>
        <x:v>0</x:v>
      </x:c>
      <x:c r="J13" s="48" t="str">
        <x:f>IF($C13="","",INDEX(tblTasks[Notes],MATCH(SMALL(Settings!$V$9:$V$49,2),Settings!$V$9:$V$49,0)))</x:f>
        <x:v>Sprint timelines baselined.</x:v>
      </x:c>
    </x:row>
    <x:row r="14" ht="28" customHeight="1">
      <x:c r="B14" s="21" t="str">
        <x:f>IF(C14="","","M-"&amp;TEXT(3,"00"))</x:f>
        <x:v>M-03</x:v>
      </x:c>
      <x:c r="C14" s="48" t="str">
        <x:f>IF(SMALL(Settings!$V$9:$V$49,3)&gt;=1E+99,"",IFERROR(INDEX(tblTasks[Task Name],MATCH(SMALL(Settings!$V$9:$V$49,3),Settings!$V$9:$V$49,0)),""))</x:f>
        <x:v>Client Prototype Review &amp; Approval</x:v>
      </x:c>
      <x:c r="D14" s="22" t="str">
        <x:f>IF($C14="","",INDEX(tblTasks[Phase],MATCH(SMALL(Settings!$V$9:$V$49,3),Settings!$V$9:$V$49,0)))</x:f>
        <x:v>Design</x:v>
      </x:c>
      <x:c r="E14" s="23" t="str">
        <x:f>IF($C14="","",INDEX(tblTasks[Owner],MATCH(SMALL(Settings!$V$9:$V$49,3),Settings!$V$9:$V$49,0)))</x:f>
        <x:v>Alex Morgan</x:v>
      </x:c>
      <x:c r="F14" s="24" t="n">
        <x:f>IF($C14="","",INDEX(tblTasks[End Date],MATCH(SMALL(Settings!$V$9:$V$49,3),Settings!$V$9:$V$49,0)))</x:f>
        <x:v>46346</x:v>
      </x:c>
      <x:c r="G14" s="22" t="str">
        <x:f>IF($C14="","",INDEX(tblTasks[Status],MATCH(SMALL(Settings!$V$9:$V$49,3),Settings!$V$9:$V$49,0)))</x:f>
        <x:v>Not Started</x:v>
      </x:c>
      <x:c r="H14" s="25" t="n">
        <x:f>IF($C14="","",INDEX(tblTasks[Completion %],MATCH(SMALL(Settings!$V$9:$V$49,3),Settings!$V$9:$V$49,0)))</x:f>
        <x:v>0</x:v>
      </x:c>
      <x:c r="I14" s="26" t="n">
        <x:f>IF($C14="","",INDEX(tblTasks[Days Remaining],MATCH(SMALL(Settings!$V$9:$V$49,3),Settings!$V$9:$V$49,0)))</x:f>
        <x:v>10</x:v>
      </x:c>
      <x:c r="J14" s="48" t="str">
        <x:f>IF($C14="","",INDEX(tblTasks[Notes],MATCH(SMALL(Settings!$V$9:$V$49,3),Settings!$V$9:$V$49,0)))</x:f>
        <x:v>Design freeze milestone gate.</x:v>
      </x:c>
    </x:row>
    <x:row r="15" ht="28" customHeight="1">
      <x:c r="B15" s="21" t="str">
        <x:f>IF(C15="","","M-"&amp;TEXT(4,"00"))</x:f>
        <x:v>M-04</x:v>
      </x:c>
      <x:c r="C15" s="48" t="str">
        <x:f>IF(SMALL(Settings!$V$9:$V$49,4)&gt;=1E+99,"",IFERROR(INDEX(tblTasks[Task Name],MATCH(SMALL(Settings!$V$9:$V$49,4),Settings!$V$9:$V$49,0)),""))</x:f>
        <x:v>Core Feature Integration Complete</x:v>
      </x:c>
      <x:c r="D15" s="22" t="str">
        <x:f>IF($C15="","",INDEX(tblTasks[Phase],MATCH(SMALL(Settings!$V$9:$V$49,4),Settings!$V$9:$V$49,0)))</x:f>
        <x:v>Build</x:v>
      </x:c>
      <x:c r="E15" s="23" t="str">
        <x:f>IF($C15="","",INDEX(tblTasks[Owner],MATCH(SMALL(Settings!$V$9:$V$49,4),Settings!$V$9:$V$49,0)))</x:f>
        <x:v>Marcus Vance</x:v>
      </x:c>
      <x:c r="F15" s="24" t="n">
        <x:f>IF($C15="","",INDEX(tblTasks[End Date],MATCH(SMALL(Settings!$V$9:$V$49,4),Settings!$V$9:$V$49,0)))</x:f>
        <x:v>46374</x:v>
      </x:c>
      <x:c r="G15" s="22" t="str">
        <x:f>IF($C15="","",INDEX(tblTasks[Status],MATCH(SMALL(Settings!$V$9:$V$49,4),Settings!$V$9:$V$49,0)))</x:f>
        <x:v>Not Started</x:v>
      </x:c>
      <x:c r="H15" s="25" t="n">
        <x:f>IF($C15="","",INDEX(tblTasks[Completion %],MATCH(SMALL(Settings!$V$9:$V$49,4),Settings!$V$9:$V$49,0)))</x:f>
        <x:v>0</x:v>
      </x:c>
      <x:c r="I15" s="26" t="n">
        <x:f>IF($C15="","",INDEX(tblTasks[Days Remaining],MATCH(SMALL(Settings!$V$9:$V$49,4),Settings!$V$9:$V$49,0)))</x:f>
        <x:v>38</x:v>
      </x:c>
      <x:c r="J15" s="48" t="str">
        <x:f>IF($C15="","",INDEX(tblTasks[Notes],MATCH(SMALL(Settings!$V$9:$V$49,4),Settings!$V$9:$V$49,0)))</x:f>
        <x:v>Alpha build gate sign-off.</x:v>
      </x:c>
    </x:row>
    <x:row r="16" ht="28" customHeight="1">
      <x:c r="B16" s="21" t="str">
        <x:f>IF(C16="","","M-"&amp;TEXT(5,"00"))</x:f>
        <x:v>M-05</x:v>
      </x:c>
      <x:c r="C16" s="48" t="str">
        <x:f>IF(SMALL(Settings!$V$9:$V$49,5)&gt;=1E+99,"",IFERROR(INDEX(tblTasks[Task Name],MATCH(SMALL(Settings!$V$9:$V$49,5),Settings!$V$9:$V$49,0)),""))</x:f>
        <x:v>UAT &amp; Beta User Sign-Off</x:v>
      </x:c>
      <x:c r="D16" s="22" t="str">
        <x:f>IF($C16="","",INDEX(tblTasks[Phase],MATCH(SMALL(Settings!$V$9:$V$49,5),Settings!$V$9:$V$49,0)))</x:f>
        <x:v>Testing</x:v>
      </x:c>
      <x:c r="E16" s="23" t="str">
        <x:f>IF($C16="","",INDEX(tblTasks[Owner],MATCH(SMALL(Settings!$V$9:$V$49,5),Settings!$V$9:$V$49,0)))</x:f>
        <x:v>Alex Morgan</x:v>
      </x:c>
      <x:c r="F16" s="24" t="n">
        <x:f>IF($C16="","",INDEX(tblTasks[End Date],MATCH(SMALL(Settings!$V$9:$V$49,5),Settings!$V$9:$V$49,0)))</x:f>
        <x:v>46393</x:v>
      </x:c>
      <x:c r="G16" s="22" t="str">
        <x:f>IF($C16="","",INDEX(tblTasks[Status],MATCH(SMALL(Settings!$V$9:$V$49,5),Settings!$V$9:$V$49,0)))</x:f>
        <x:v>Not Started</x:v>
      </x:c>
      <x:c r="H16" s="25" t="n">
        <x:f>IF($C16="","",INDEX(tblTasks[Completion %],MATCH(SMALL(Settings!$V$9:$V$49,5),Settings!$V$9:$V$49,0)))</x:f>
        <x:v>0</x:v>
      </x:c>
      <x:c r="I16" s="26" t="n">
        <x:f>IF($C16="","",INDEX(tblTasks[Days Remaining],MATCH(SMALL(Settings!$V$9:$V$49,5),Settings!$V$9:$V$49,0)))</x:f>
        <x:v>57</x:v>
      </x:c>
      <x:c r="J16" s="48" t="str">
        <x:f>IF($C16="","",INDEX(tblTasks[Notes],MATCH(SMALL(Settings!$V$9:$V$49,5),Settings!$V$9:$V$49,0)))</x:f>
        <x:v>Beta acceptance threshold: 90%+ satisfaction.</x:v>
      </x:c>
    </x:row>
    <x:row r="17" ht="28" customHeight="1">
      <x:c r="B17" s="21" t="str">
        <x:f>IF(C17="","","M-"&amp;TEXT(6,"00"))</x:f>
        <x:v>M-06</x:v>
      </x:c>
      <x:c r="C17" s="48" t="str">
        <x:f>IF(SMALL(Settings!$V$9:$V$49,6)&gt;=1E+99,"",IFERROR(INDEX(tblTasks[Task Name],MATCH(SMALL(Settings!$V$9:$V$49,6),Settings!$V$9:$V$49,0)),""))</x:f>
        <x:v>Production Deployment &amp; Go-Live</x:v>
      </x:c>
      <x:c r="D17" s="22" t="str">
        <x:f>IF($C17="","",INDEX(tblTasks[Phase],MATCH(SMALL(Settings!$V$9:$V$49,6),Settings!$V$9:$V$49,0)))</x:f>
        <x:v>Launch</x:v>
      </x:c>
      <x:c r="E17" s="23" t="str">
        <x:f>IF($C17="","",INDEX(tblTasks[Owner],MATCH(SMALL(Settings!$V$9:$V$49,6),Settings!$V$9:$V$49,0)))</x:f>
        <x:v>Alex Morgan</x:v>
      </x:c>
      <x:c r="F17" s="24" t="n">
        <x:f>IF($C17="","",INDEX(tblTasks[End Date],MATCH(SMALL(Settings!$V$9:$V$49,6),Settings!$V$9:$V$49,0)))</x:f>
        <x:v>46402</x:v>
      </x:c>
      <x:c r="G17" s="22" t="str">
        <x:f>IF($C17="","",INDEX(tblTasks[Status],MATCH(SMALL(Settings!$V$9:$V$49,6),Settings!$V$9:$V$49,0)))</x:f>
        <x:v>Not Started</x:v>
      </x:c>
      <x:c r="H17" s="25" t="n">
        <x:f>IF($C17="","",INDEX(tblTasks[Completion %],MATCH(SMALL(Settings!$V$9:$V$49,6),Settings!$V$9:$V$49,0)))</x:f>
        <x:v>0</x:v>
      </x:c>
      <x:c r="I17" s="26" t="n">
        <x:f>IF($C17="","",INDEX(tblTasks[Days Remaining],MATCH(SMALL(Settings!$V$9:$V$49,6),Settings!$V$9:$V$49,0)))</x:f>
        <x:v>66</x:v>
      </x:c>
      <x:c r="J17" s="48" t="str">
        <x:f>IF($C17="","",INDEX(tblTasks[Notes],MATCH(SMALL(Settings!$V$9:$V$49,6),Settings!$V$9:$V$49,0)))</x:f>
        <x:v>Official public launch milestone.</x:v>
      </x:c>
    </x:row>
    <x:row r="18" ht="28" customHeight="1">
      <x:c r="B18" t="str">
        <x:f>IF(C18="","","M-"&amp;TEXT(7,"00"))</x:f>
      </x:c>
      <x:c r="C18" s="36" t="str">
        <x:f>IF(SMALL(Settings!$V$9:$V$49,7)&gt;=1E+99,"",IFERROR(INDEX(tblTasks[Task Name],MATCH(SMALL(Settings!$V$9:$V$49,7),Settings!$V$9:$V$49,0)),""))</x:f>
      </x:c>
      <x:c r="D18" t="str">
        <x:f>IF($C18="","",INDEX(tblTasks[Phase],MATCH(SMALL(Settings!$V$9:$V$49,7),Settings!$V$9:$V$49,0)))</x:f>
      </x:c>
      <x:c r="E18" t="str">
        <x:f>IF($C18="","",INDEX(tblTasks[Owner],MATCH(SMALL(Settings!$V$9:$V$49,7),Settings!$V$9:$V$49,0)))</x:f>
      </x:c>
      <x:c r="F18" t="str">
        <x:f>IF($C18="","",INDEX(tblTasks[End Date],MATCH(SMALL(Settings!$V$9:$V$49,7),Settings!$V$9:$V$49,0)))</x:f>
      </x:c>
      <x:c r="G18" t="str">
        <x:f>IF($C18="","",INDEX(tblTasks[Status],MATCH(SMALL(Settings!$V$9:$V$49,7),Settings!$V$9:$V$49,0)))</x:f>
      </x:c>
      <x:c r="H18" t="str">
        <x:f>IF($C18="","",INDEX(tblTasks[Completion %],MATCH(SMALL(Settings!$V$9:$V$49,7),Settings!$V$9:$V$49,0)))</x:f>
      </x:c>
      <x:c r="I18" t="str">
        <x:f>IF($C18="","",INDEX(tblTasks[Days Remaining],MATCH(SMALL(Settings!$V$9:$V$49,7),Settings!$V$9:$V$49,0)))</x:f>
      </x:c>
      <x:c r="J18" s="36" t="str">
        <x:f>IF($C18="","",INDEX(tblTasks[Notes],MATCH(SMALL(Settings!$V$9:$V$49,7),Settings!$V$9:$V$49,0)))</x:f>
      </x:c>
    </x:row>
    <x:row r="19" ht="28" customHeight="1">
      <x:c r="B19" t="str">
        <x:f>IF(C19="","","M-"&amp;TEXT(8,"00"))</x:f>
      </x:c>
      <x:c r="C19" s="36" t="str">
        <x:f>IF(SMALL(Settings!$V$9:$V$49,8)&gt;=1E+99,"",IFERROR(INDEX(tblTasks[Task Name],MATCH(SMALL(Settings!$V$9:$V$49,8),Settings!$V$9:$V$49,0)),""))</x:f>
      </x:c>
      <x:c r="D19" t="str">
        <x:f>IF($C19="","",INDEX(tblTasks[Phase],MATCH(SMALL(Settings!$V$9:$V$49,8),Settings!$V$9:$V$49,0)))</x:f>
      </x:c>
      <x:c r="E19" t="str">
        <x:f>IF($C19="","",INDEX(tblTasks[Owner],MATCH(SMALL(Settings!$V$9:$V$49,8),Settings!$V$9:$V$49,0)))</x:f>
      </x:c>
      <x:c r="F19" t="str">
        <x:f>IF($C19="","",INDEX(tblTasks[End Date],MATCH(SMALL(Settings!$V$9:$V$49,8),Settings!$V$9:$V$49,0)))</x:f>
      </x:c>
      <x:c r="G19" t="str">
        <x:f>IF($C19="","",INDEX(tblTasks[Status],MATCH(SMALL(Settings!$V$9:$V$49,8),Settings!$V$9:$V$49,0)))</x:f>
      </x:c>
      <x:c r="H19" t="str">
        <x:f>IF($C19="","",INDEX(tblTasks[Completion %],MATCH(SMALL(Settings!$V$9:$V$49,8),Settings!$V$9:$V$49,0)))</x:f>
      </x:c>
      <x:c r="I19" t="str">
        <x:f>IF($C19="","",INDEX(tblTasks[Days Remaining],MATCH(SMALL(Settings!$V$9:$V$49,8),Settings!$V$9:$V$49,0)))</x:f>
      </x:c>
      <x:c r="J19" s="36" t="str">
        <x:f>IF($C19="","",INDEX(tblTasks[Notes],MATCH(SMALL(Settings!$V$9:$V$49,8),Settings!$V$9:$V$49,0)))</x:f>
      </x:c>
    </x:row>
    <x:row r="20" ht="28" customHeight="1">
      <x:c r="B20" t="str">
        <x:f>IF(C20="","","M-"&amp;TEXT(9,"00"))</x:f>
      </x:c>
      <x:c r="C20" s="36" t="str">
        <x:f>IF(SMALL(Settings!$V$9:$V$49,9)&gt;=1E+99,"",IFERROR(INDEX(tblTasks[Task Name],MATCH(SMALL(Settings!$V$9:$V$49,9),Settings!$V$9:$V$49,0)),""))</x:f>
      </x:c>
      <x:c r="D20" t="str">
        <x:f>IF($C20="","",INDEX(tblTasks[Phase],MATCH(SMALL(Settings!$V$9:$V$49,9),Settings!$V$9:$V$49,0)))</x:f>
      </x:c>
      <x:c r="E20" t="str">
        <x:f>IF($C20="","",INDEX(tblTasks[Owner],MATCH(SMALL(Settings!$V$9:$V$49,9),Settings!$V$9:$V$49,0)))</x:f>
      </x:c>
      <x:c r="F20" t="str">
        <x:f>IF($C20="","",INDEX(tblTasks[End Date],MATCH(SMALL(Settings!$V$9:$V$49,9),Settings!$V$9:$V$49,0)))</x:f>
      </x:c>
      <x:c r="G20" t="str">
        <x:f>IF($C20="","",INDEX(tblTasks[Status],MATCH(SMALL(Settings!$V$9:$V$49,9),Settings!$V$9:$V$49,0)))</x:f>
      </x:c>
      <x:c r="H20" t="str">
        <x:f>IF($C20="","",INDEX(tblTasks[Completion %],MATCH(SMALL(Settings!$V$9:$V$49,9),Settings!$V$9:$V$49,0)))</x:f>
      </x:c>
      <x:c r="I20" t="str">
        <x:f>IF($C20="","",INDEX(tblTasks[Days Remaining],MATCH(SMALL(Settings!$V$9:$V$49,9),Settings!$V$9:$V$49,0)))</x:f>
      </x:c>
      <x:c r="J20" s="36" t="str">
        <x:f>IF($C20="","",INDEX(tblTasks[Notes],MATCH(SMALL(Settings!$V$9:$V$49,9),Settings!$V$9:$V$49,0)))</x:f>
      </x:c>
    </x:row>
    <x:row r="21" ht="28" customHeight="1">
      <x:c r="B21" t="str">
        <x:f>IF(C21="","","M-"&amp;TEXT(10,"00"))</x:f>
      </x:c>
      <x:c r="C21" s="36" t="str">
        <x:f>IF(SMALL(Settings!$V$9:$V$49,10)&gt;=1E+99,"",IFERROR(INDEX(tblTasks[Task Name],MATCH(SMALL(Settings!$V$9:$V$49,10),Settings!$V$9:$V$49,0)),""))</x:f>
      </x:c>
      <x:c r="D21" t="str">
        <x:f>IF($C21="","",INDEX(tblTasks[Phase],MATCH(SMALL(Settings!$V$9:$V$49,10),Settings!$V$9:$V$49,0)))</x:f>
      </x:c>
      <x:c r="E21" t="str">
        <x:f>IF($C21="","",INDEX(tblTasks[Owner],MATCH(SMALL(Settings!$V$9:$V$49,10),Settings!$V$9:$V$49,0)))</x:f>
      </x:c>
      <x:c r="F21" t="str">
        <x:f>IF($C21="","",INDEX(tblTasks[End Date],MATCH(SMALL(Settings!$V$9:$V$49,10),Settings!$V$9:$V$49,0)))</x:f>
      </x:c>
      <x:c r="G21" t="str">
        <x:f>IF($C21="","",INDEX(tblTasks[Status],MATCH(SMALL(Settings!$V$9:$V$49,10),Settings!$V$9:$V$49,0)))</x:f>
      </x:c>
      <x:c r="H21" t="str">
        <x:f>IF($C21="","",INDEX(tblTasks[Completion %],MATCH(SMALL(Settings!$V$9:$V$49,10),Settings!$V$9:$V$49,0)))</x:f>
      </x:c>
      <x:c r="I21" t="str">
        <x:f>IF($C21="","",INDEX(tblTasks[Days Remaining],MATCH(SMALL(Settings!$V$9:$V$49,10),Settings!$V$9:$V$49,0)))</x:f>
      </x:c>
      <x:c r="J21" s="36" t="str">
        <x:f>IF($C21="","",INDEX(tblTasks[Notes],MATCH(SMALL(Settings!$V$9:$V$49,10),Settings!$V$9:$V$49,0)))</x:f>
      </x:c>
    </x:row>
    <x:row r="22" ht="28" customHeight="1">
      <x:c r="B22" t="str">
        <x:f>IF(C22="","","M-"&amp;TEXT(11,"00"))</x:f>
      </x:c>
      <x:c r="C22" s="36" t="str">
        <x:f>IF(SMALL(Settings!$V$9:$V$49,11)&gt;=1E+99,"",IFERROR(INDEX(tblTasks[Task Name],MATCH(SMALL(Settings!$V$9:$V$49,11),Settings!$V$9:$V$49,0)),""))</x:f>
      </x:c>
      <x:c r="D22" t="str">
        <x:f>IF($C22="","",INDEX(tblTasks[Phase],MATCH(SMALL(Settings!$V$9:$V$49,11),Settings!$V$9:$V$49,0)))</x:f>
      </x:c>
      <x:c r="E22" t="str">
        <x:f>IF($C22="","",INDEX(tblTasks[Owner],MATCH(SMALL(Settings!$V$9:$V$49,11),Settings!$V$9:$V$49,0)))</x:f>
      </x:c>
      <x:c r="F22" t="str">
        <x:f>IF($C22="","",INDEX(tblTasks[End Date],MATCH(SMALL(Settings!$V$9:$V$49,11),Settings!$V$9:$V$49,0)))</x:f>
      </x:c>
      <x:c r="G22" t="str">
        <x:f>IF($C22="","",INDEX(tblTasks[Status],MATCH(SMALL(Settings!$V$9:$V$49,11),Settings!$V$9:$V$49,0)))</x:f>
      </x:c>
      <x:c r="H22" t="str">
        <x:f>IF($C22="","",INDEX(tblTasks[Completion %],MATCH(SMALL(Settings!$V$9:$V$49,11),Settings!$V$9:$V$49,0)))</x:f>
      </x:c>
      <x:c r="I22" t="str">
        <x:f>IF($C22="","",INDEX(tblTasks[Days Remaining],MATCH(SMALL(Settings!$V$9:$V$49,11),Settings!$V$9:$V$49,0)))</x:f>
      </x:c>
      <x:c r="J22" s="36" t="str">
        <x:f>IF($C22="","",INDEX(tblTasks[Notes],MATCH(SMALL(Settings!$V$9:$V$49,11),Settings!$V$9:$V$49,0)))</x:f>
      </x:c>
    </x:row>
    <x:row r="23" ht="28" customHeight="1">
      <x:c r="B23" t="str">
        <x:f>IF(C23="","","M-"&amp;TEXT(12,"00"))</x:f>
      </x:c>
      <x:c r="C23" s="36" t="str">
        <x:f>IF(SMALL(Settings!$V$9:$V$49,12)&gt;=1E+99,"",IFERROR(INDEX(tblTasks[Task Name],MATCH(SMALL(Settings!$V$9:$V$49,12),Settings!$V$9:$V$49,0)),""))</x:f>
      </x:c>
      <x:c r="D23" t="str">
        <x:f>IF($C23="","",INDEX(tblTasks[Phase],MATCH(SMALL(Settings!$V$9:$V$49,12),Settings!$V$9:$V$49,0)))</x:f>
      </x:c>
      <x:c r="E23" t="str">
        <x:f>IF($C23="","",INDEX(tblTasks[Owner],MATCH(SMALL(Settings!$V$9:$V$49,12),Settings!$V$9:$V$49,0)))</x:f>
      </x:c>
      <x:c r="F23" t="str">
        <x:f>IF($C23="","",INDEX(tblTasks[End Date],MATCH(SMALL(Settings!$V$9:$V$49,12),Settings!$V$9:$V$49,0)))</x:f>
      </x:c>
      <x:c r="G23" t="str">
        <x:f>IF($C23="","",INDEX(tblTasks[Status],MATCH(SMALL(Settings!$V$9:$V$49,12),Settings!$V$9:$V$49,0)))</x:f>
      </x:c>
      <x:c r="H23" t="str">
        <x:f>IF($C23="","",INDEX(tblTasks[Completion %],MATCH(SMALL(Settings!$V$9:$V$49,12),Settings!$V$9:$V$49,0)))</x:f>
      </x:c>
      <x:c r="I23" t="str">
        <x:f>IF($C23="","",INDEX(tblTasks[Days Remaining],MATCH(SMALL(Settings!$V$9:$V$49,12),Settings!$V$9:$V$49,0)))</x:f>
      </x:c>
      <x:c r="J23" s="36" t="str">
        <x:f>IF($C23="","",INDEX(tblTasks[Notes],MATCH(SMALL(Settings!$V$9:$V$49,12),Settings!$V$9:$V$49,0)))</x:f>
      </x:c>
    </x:row>
    <x:row r="24" ht="28" customHeight="1">
      <x:c r="B24" t="str">
        <x:f>IF(C24="","","M-"&amp;TEXT(13,"00"))</x:f>
      </x:c>
      <x:c r="C24" s="36" t="str">
        <x:f>IF(SMALL(Settings!$V$9:$V$49,13)&gt;=1E+99,"",IFERROR(INDEX(tblTasks[Task Name],MATCH(SMALL(Settings!$V$9:$V$49,13),Settings!$V$9:$V$49,0)),""))</x:f>
      </x:c>
      <x:c r="D24" t="str">
        <x:f>IF($C24="","",INDEX(tblTasks[Phase],MATCH(SMALL(Settings!$V$9:$V$49,13),Settings!$V$9:$V$49,0)))</x:f>
      </x:c>
      <x:c r="E24" t="str">
        <x:f>IF($C24="","",INDEX(tblTasks[Owner],MATCH(SMALL(Settings!$V$9:$V$49,13),Settings!$V$9:$V$49,0)))</x:f>
      </x:c>
      <x:c r="F24" t="str">
        <x:f>IF($C24="","",INDEX(tblTasks[End Date],MATCH(SMALL(Settings!$V$9:$V$49,13),Settings!$V$9:$V$49,0)))</x:f>
      </x:c>
      <x:c r="G24" t="str">
        <x:f>IF($C24="","",INDEX(tblTasks[Status],MATCH(SMALL(Settings!$V$9:$V$49,13),Settings!$V$9:$V$49,0)))</x:f>
      </x:c>
      <x:c r="H24" t="str">
        <x:f>IF($C24="","",INDEX(tblTasks[Completion %],MATCH(SMALL(Settings!$V$9:$V$49,13),Settings!$V$9:$V$49,0)))</x:f>
      </x:c>
      <x:c r="I24" t="str">
        <x:f>IF($C24="","",INDEX(tblTasks[Days Remaining],MATCH(SMALL(Settings!$V$9:$V$49,13),Settings!$V$9:$V$49,0)))</x:f>
      </x:c>
      <x:c r="J24" s="36" t="str">
        <x:f>IF($C24="","",INDEX(tblTasks[Notes],MATCH(SMALL(Settings!$V$9:$V$49,13),Settings!$V$9:$V$49,0)))</x:f>
      </x:c>
    </x:row>
    <x:row r="25" ht="28" customHeight="1">
      <x:c r="B25" t="str">
        <x:f>IF(C25="","","M-"&amp;TEXT(14,"00"))</x:f>
      </x:c>
      <x:c r="C25" s="36" t="str">
        <x:f>IF(SMALL(Settings!$V$9:$V$49,14)&gt;=1E+99,"",IFERROR(INDEX(tblTasks[Task Name],MATCH(SMALL(Settings!$V$9:$V$49,14),Settings!$V$9:$V$49,0)),""))</x:f>
      </x:c>
      <x:c r="D25" t="str">
        <x:f>IF($C25="","",INDEX(tblTasks[Phase],MATCH(SMALL(Settings!$V$9:$V$49,14),Settings!$V$9:$V$49,0)))</x:f>
      </x:c>
      <x:c r="E25" t="str">
        <x:f>IF($C25="","",INDEX(tblTasks[Owner],MATCH(SMALL(Settings!$V$9:$V$49,14),Settings!$V$9:$V$49,0)))</x:f>
      </x:c>
      <x:c r="F25" t="str">
        <x:f>IF($C25="","",INDEX(tblTasks[End Date],MATCH(SMALL(Settings!$V$9:$V$49,14),Settings!$V$9:$V$49,0)))</x:f>
      </x:c>
      <x:c r="G25" t="str">
        <x:f>IF($C25="","",INDEX(tblTasks[Status],MATCH(SMALL(Settings!$V$9:$V$49,14),Settings!$V$9:$V$49,0)))</x:f>
      </x:c>
      <x:c r="H25" t="str">
        <x:f>IF($C25="","",INDEX(tblTasks[Completion %],MATCH(SMALL(Settings!$V$9:$V$49,14),Settings!$V$9:$V$49,0)))</x:f>
      </x:c>
      <x:c r="I25" t="str">
        <x:f>IF($C25="","",INDEX(tblTasks[Days Remaining],MATCH(SMALL(Settings!$V$9:$V$49,14),Settings!$V$9:$V$49,0)))</x:f>
      </x:c>
      <x:c r="J25" s="36" t="str">
        <x:f>IF($C25="","",INDEX(tblTasks[Notes],MATCH(SMALL(Settings!$V$9:$V$49,14),Settings!$V$9:$V$49,0)))</x:f>
      </x:c>
    </x:row>
    <x:row r="26" ht="28" customHeight="1">
      <x:c r="B26" t="str">
        <x:f>IF(C26="","","M-"&amp;TEXT(15,"00"))</x:f>
      </x:c>
      <x:c r="C26" s="36" t="str">
        <x:f>IF(SMALL(Settings!$V$9:$V$49,15)&gt;=1E+99,"",IFERROR(INDEX(tblTasks[Task Name],MATCH(SMALL(Settings!$V$9:$V$49,15),Settings!$V$9:$V$49,0)),""))</x:f>
      </x:c>
      <x:c r="D26" t="str">
        <x:f>IF($C26="","",INDEX(tblTasks[Phase],MATCH(SMALL(Settings!$V$9:$V$49,15),Settings!$V$9:$V$49,0)))</x:f>
      </x:c>
      <x:c r="E26" t="str">
        <x:f>IF($C26="","",INDEX(tblTasks[Owner],MATCH(SMALL(Settings!$V$9:$V$49,15),Settings!$V$9:$V$49,0)))</x:f>
      </x:c>
      <x:c r="F26" t="str">
        <x:f>IF($C26="","",INDEX(tblTasks[End Date],MATCH(SMALL(Settings!$V$9:$V$49,15),Settings!$V$9:$V$49,0)))</x:f>
      </x:c>
      <x:c r="G26" t="str">
        <x:f>IF($C26="","",INDEX(tblTasks[Status],MATCH(SMALL(Settings!$V$9:$V$49,15),Settings!$V$9:$V$49,0)))</x:f>
      </x:c>
      <x:c r="H26" t="str">
        <x:f>IF($C26="","",INDEX(tblTasks[Completion %],MATCH(SMALL(Settings!$V$9:$V$49,15),Settings!$V$9:$V$49,0)))</x:f>
      </x:c>
      <x:c r="I26" t="str">
        <x:f>IF($C26="","",INDEX(tblTasks[Days Remaining],MATCH(SMALL(Settings!$V$9:$V$49,15),Settings!$V$9:$V$49,0)))</x:f>
      </x:c>
      <x:c r="J26" s="36" t="str">
        <x:f>IF($C26="","",INDEX(tblTasks[Notes],MATCH(SMALL(Settings!$V$9:$V$49,15),Settings!$V$9:$V$49,0)))</x:f>
      </x:c>
    </x:row>
  </x:sheetData>
  <x:mergeCells>
    <x:mergeCell ref="B2:K2"/>
    <x:mergeCell ref="B7:C7"/>
    <x:mergeCell ref="B8:C8"/>
    <x:mergeCell ref="D7:E7"/>
    <x:mergeCell ref="D8:E8"/>
    <x:mergeCell ref="F7:G7"/>
    <x:mergeCell ref="F8:G8"/>
    <x:mergeCell ref="H7:I7"/>
    <x:mergeCell ref="H8:I8"/>
  </x:mergeCells>
  <x:conditionalFormatting sqref="G12:G18">
    <x:cfRule type="cellIs" dxfId="12" priority="1" operator="equal">
      <x:formula>"Completed"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.7109375" customWidth="1"/>
    <x:col min="2" max="2" width="22.7109375" customWidth="1"/>
    <x:col min="3" max="3" width="4.7109375" customWidth="1"/>
    <x:col min="4" max="4" width="26.7109375" customWidth="1"/>
    <x:col min="5" max="5" width="4.7109375" customWidth="1"/>
    <x:col min="6" max="6" width="15.7109375" customWidth="1"/>
    <x:col min="7" max="7" width="16.7109375" customWidth="1"/>
    <x:col min="8" max="8" width="15.7109375" customWidth="1"/>
    <x:col min="9" max="10" width="14.7109375" customWidth="1"/>
    <x:col min="11" max="11" width="26.7109375" customWidth="1"/>
    <x:col min="12" max="12" width="4.7109375" customWidth="1"/>
    <x:col min="13" max="13" width="16.7109375" customWidth="1"/>
    <x:col min="14" max="15" width="12.7109375" customWidth="1"/>
    <x:col min="16" max="16" width="16.7109375" customWidth="1"/>
    <x:col min="20" max="20" width="0.33000001311302185" hidden="0" customWidth="1"/>
    <x:col min="21" max="21" width="0.33000001311302185" hidden="0" customWidth="1"/>
    <x:col min="22" max="22" width="0.33000001311302185" hidden="0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>
      <x:c r="B3" s="3" t="s">
        <x:v>1</x:v>
      </x:c>
      <x:c r="C3" s="3" t="s">
        <x:v>2</x:v>
      </x:c>
      <x:c r="D3" s="3" t="s">
        <x:v>3</x:v>
      </x:c>
      <x:c r="E3" s="3" t="s">
        <x:v>4</x:v>
      </x:c>
      <x:c r="F3" s="2" t="s">
        <x:v>5</x:v>
      </x:c>
      <x:c r="G3" s="3" t="s">
        <x:v>6</x:v>
      </x:c>
    </x:row>
    <x:row r="4">
      <x:c r="B4" s="19" t="s">
        <x:v>160</x:v>
      </x:c>
    </x:row>
    <x:row r="5">
      <x:c r="B5" s="6" t="s">
        <x:v>9</x:v>
      </x:c>
      <x:c r="D5" s="32" t="s">
        <x:v>161</x:v>
      </x:c>
    </x:row>
    <x:row r="6">
      <x:c r="B6" s="6" t="s">
        <x:v>162</x:v>
      </x:c>
      <x:c r="D6" s="32" t="s">
        <x:v>163</x:v>
      </x:c>
    </x:row>
    <x:row r="7">
      <x:c r="B7" s="6" t="s">
        <x:v>164</x:v>
      </x:c>
      <x:c r="D7" s="33">
        <x:v>46300</x:v>
      </x:c>
      <x:c r="F7" s="19" t="s">
        <x:v>165</x:v>
      </x:c>
      <x:c r="M7" s="19" t="s">
        <x:v>166</x:v>
      </x:c>
    </x:row>
    <x:row r="8">
      <x:c r="B8" s="6" t="s">
        <x:v>167</x:v>
      </x:c>
      <x:c r="D8" s="33">
        <x:v>46402</x:v>
      </x:c>
      <x:c r="F8" s="20" t="s">
        <x:v>168</x:v>
      </x:c>
      <x:c r="G8" s="20" t="s">
        <x:v>169</x:v>
      </x:c>
      <x:c r="H8" s="20" t="s">
        <x:v>170</x:v>
      </x:c>
      <x:c r="I8" s="20" t="s">
        <x:v>171</x:v>
      </x:c>
      <x:c r="J8" s="20" t="s">
        <x:v>172</x:v>
      </x:c>
      <x:c r="K8" s="20" t="s">
        <x:v>173</x:v>
      </x:c>
    </x:row>
    <x:row r="9">
      <x:c r="B9" s="6" t="s">
        <x:v>174</x:v>
      </x:c>
      <x:c r="D9" s="33">
        <x:v>46336</x:v>
      </x:c>
      <x:c r="F9" s="22" t="s">
        <x:v>61</x:v>
      </x:c>
      <x:c r="G9" s="22" t="s">
        <x:v>64</x:v>
      </x:c>
      <x:c r="H9" s="22" t="s">
        <x:v>110</x:v>
      </x:c>
      <x:c r="I9" s="22" t="s">
        <x:v>175</x:v>
      </x:c>
      <x:c r="J9" s="22" t="s">
        <x:v>80</x:v>
      </x:c>
      <x:c r="K9" s="22" t="s">
        <x:v>65</x:v>
      </x:c>
      <x:c r="T9" s="47" t="n">
        <x:f>IF(OR('Task List'!$Q10="Overdue",'Task List'!$J10="Blocked"),1,1E+99)</x:f>
        <x:v>1e+99</x:v>
      </x:c>
      <x:c r="U9" s="47" t="n">
        <x:f>IF(AND('Task List'!$N10="Yes",'Task List'!$J10&lt;&gt;"Completed",'Task List'!$B10&lt;&gt;""),'Task List'!$H10+1/100000,1E+99)</x:f>
        <x:v>1e+99</x:v>
      </x:c>
      <x:c r="V9" s="47" t="n">
        <x:f>IF(AND('Task List'!$N10="Yes",'Task List'!$B10&lt;&gt;""),'Task List'!$H10+1/100000,1E+99)</x:f>
        <x:v>1e+99</x:v>
      </x:c>
    </x:row>
    <x:row r="10">
      <x:c r="B10" s="6" t="s">
        <x:v>176</x:v>
      </x:c>
      <x:c r="D10" s="9" t="str">
        <x:f>IF(COUNTA(tblTasks[Task ID])=0,"Not Started",IF(OR(COUNTIF(tblTasks[Status],"Blocked")&gt;=2,COUNTIF(tblTasks[Schedule Status],"Overdue")&gt;=3,AVERAGE(tblTasks[Completion %])+0.2&lt;MAX(0,MIN(1,(D9-D7)/MAX(1,D8-D7)))),"Off Track",IF(OR(COUNTIF(tblTasks[Status],"Blocked")&gt;0,COUNTIF(tblTasks[Schedule Status],"Overdue")&gt;0,AVERAGE(tblTasks[Completion %])+0.1&lt;MAX(0,MIN(1,(D9-D7)/MAX(1,D8-D7)))),"At Risk","On Track")))</x:f>
        <x:v>At Risk</x:v>
      </x:c>
      <x:c r="F10" s="22" t="s">
        <x:v>83</x:v>
      </x:c>
      <x:c r="G10" s="22" t="s">
        <x:v>73</x:v>
      </x:c>
      <x:c r="H10" s="22" t="s">
        <x:v>92</x:v>
      </x:c>
      <x:c r="I10" s="22" t="s">
        <x:v>74</x:v>
      </x:c>
      <x:c r="J10" s="22" t="s">
        <x:v>68</x:v>
      </x:c>
      <x:c r="K10" s="22" t="s">
        <x:v>92</x:v>
      </x:c>
      <x:c r="T10" s="47" t="n">
        <x:f>IF(OR('Task List'!$Q11="Overdue",'Task List'!$J11="Blocked"),2,1E+99)</x:f>
        <x:v>1e+99</x:v>
      </x:c>
      <x:c r="U10" s="47" t="n">
        <x:f>IF(AND('Task List'!$N11="Yes",'Task List'!$J11&lt;&gt;"Completed",'Task List'!$B11&lt;&gt;""),'Task List'!$H11+2/100000,1E+99)</x:f>
        <x:v>1e+99</x:v>
      </x:c>
      <x:c r="V10" s="47" t="n">
        <x:f>IF(AND('Task List'!$N11="Yes",'Task List'!$B11&lt;&gt;""),'Task List'!$H11+2/100000,1E+99)</x:f>
        <x:v>1e+99</x:v>
      </x:c>
    </x:row>
    <x:row r="11">
      <x:c r="F11" s="22" t="s">
        <x:v>99</x:v>
      </x:c>
      <x:c r="G11" s="22" t="s">
        <x:v>86</x:v>
      </x:c>
      <x:c r="H11" s="22" t="s">
        <x:v>125</x:v>
      </x:c>
      <x:c r="I11" s="22" t="s">
        <x:v>66</x:v>
      </x:c>
      <x:c r="J11" s="23"/>
      <x:c r="K11" s="22" t="s">
        <x:v>177</x:v>
      </x:c>
      <x:c r="T11" s="47" t="n">
        <x:f>IF(OR('Task List'!$Q12="Overdue",'Task List'!$J12="Blocked"),3,1E+99)</x:f>
        <x:v>1e+99</x:v>
      </x:c>
      <x:c r="U11" s="47" t="n">
        <x:f>IF(AND('Task List'!$N12="Yes",'Task List'!$J12&lt;&gt;"Completed",'Task List'!$B12&lt;&gt;""),'Task List'!$H12+3/100000,1E+99)</x:f>
        <x:v>1e+99</x:v>
      </x:c>
      <x:c r="V11" s="47" t="n">
        <x:f>IF(AND('Task List'!$N12="Yes",'Task List'!$B12&lt;&gt;""),'Task List'!$H12+3/100000,1E+99)</x:f>
        <x:v>46311.00003</x:v>
      </x:c>
    </x:row>
    <x:row r="12">
      <x:c r="B12" s="14" t="s">
        <x:v>178</x:v>
      </x:c>
      <x:c r="C12" s="14"/>
      <x:c r="D12" s="14"/>
      <x:c r="F12" s="22" t="s">
        <x:v>113</x:v>
      </x:c>
      <x:c r="G12" s="22" t="s">
        <x:v>91</x:v>
      </x:c>
      <x:c r="H12" s="22" t="s">
        <x:v>65</x:v>
      </x:c>
      <x:c r="I12" s="22" t="s">
        <x:v>79</x:v>
      </x:c>
      <x:c r="J12" s="23"/>
      <x:c r="K12" s="22" t="s">
        <x:v>179</x:v>
      </x:c>
      <x:c r="T12" s="47" t="n">
        <x:f>IF(OR('Task List'!$Q13="Overdue",'Task List'!$J13="Blocked"),4,1E+99)</x:f>
        <x:v>1e+99</x:v>
      </x:c>
      <x:c r="U12" s="47" t="n">
        <x:f>IF(AND('Task List'!$N13="Yes",'Task List'!$J13&lt;&gt;"Completed",'Task List'!$B13&lt;&gt;""),'Task List'!$H13+4/100000,1E+99)</x:f>
        <x:v>1e+99</x:v>
      </x:c>
      <x:c r="V12" s="47" t="n">
        <x:f>IF(AND('Task List'!$N13="Yes",'Task List'!$B13&lt;&gt;""),'Task List'!$H13+4/100000,1E+99)</x:f>
        <x:v>1e+99</x:v>
      </x:c>
    </x:row>
    <x:row r="13">
      <x:c r="B13" s="14"/>
      <x:c r="C13" s="14"/>
      <x:c r="D13" s="14"/>
      <x:c r="F13" s="22" t="s">
        <x:v>132</x:v>
      </x:c>
      <x:c r="G13" s="22" t="s">
        <x:v>120</x:v>
      </x:c>
      <x:c r="H13" s="22" t="s">
        <x:v>180</x:v>
      </x:c>
      <x:c r="I13" s="23"/>
      <x:c r="J13" s="23"/>
      <x:c r="K13" s="22" t="s">
        <x:v>125</x:v>
      </x:c>
      <x:c r="T13" s="47" t="n">
        <x:f>IF(OR('Task List'!$Q14="Overdue",'Task List'!$J14="Blocked"),5,1E+99)</x:f>
        <x:v>5</x:v>
      </x:c>
      <x:c r="U13" s="47" t="n">
        <x:f>IF(AND('Task List'!$N14="Yes",'Task List'!$J14&lt;&gt;"Completed",'Task List'!$B14&lt;&gt;""),'Task List'!$H14+5/100000,1E+99)</x:f>
        <x:v>1e+99</x:v>
      </x:c>
      <x:c r="V13" s="47" t="n">
        <x:f>IF(AND('Task List'!$N14="Yes",'Task List'!$B14&lt;&gt;""),'Task List'!$H14+5/100000,1E+99)</x:f>
        <x:v>1e+99</x:v>
      </x:c>
    </x:row>
    <x:row r="14">
      <x:c r="B14" s="14"/>
      <x:c r="C14" s="14"/>
      <x:c r="D14" s="14"/>
      <x:c r="F14" s="22" t="s">
        <x:v>145</x:v>
      </x:c>
      <x:c r="G14" s="23"/>
      <x:c r="H14" s="23"/>
      <x:c r="I14" s="23"/>
      <x:c r="J14" s="23"/>
      <x:c r="K14" s="22" t="s">
        <x:v>110</x:v>
      </x:c>
      <x:c r="M14" s="20" t="s">
        <x:v>38</x:v>
      </x:c>
      <x:c r="N14" s="20" t="s">
        <x:v>181</x:v>
      </x:c>
      <x:c r="T14" s="47" t="n">
        <x:f>IF(OR('Task List'!$Q15="Overdue",'Task List'!$J15="Blocked"),6,1E+99)</x:f>
        <x:v>1e+99</x:v>
      </x:c>
      <x:c r="U14" s="47" t="n">
        <x:f>IF(AND('Task List'!$N15="Yes",'Task List'!$J15&lt;&gt;"Completed",'Task List'!$B15&lt;&gt;""),'Task List'!$H15+6/100000,1E+99)</x:f>
        <x:v>1e+99</x:v>
      </x:c>
      <x:c r="V14" s="47" t="n">
        <x:f>IF(AND('Task List'!$N15="Yes",'Task List'!$B15&lt;&gt;""),'Task List'!$H15+6/100000,1E+99)</x:f>
        <x:v>46330.00006</x:v>
      </x:c>
    </x:row>
    <x:row r="15">
      <x:c r="F15" s="23"/>
      <x:c r="G15" s="23"/>
      <x:c r="H15" s="23"/>
      <x:c r="I15" s="23"/>
      <x:c r="J15" s="23"/>
      <x:c r="K15" s="22" t="s">
        <x:v>180</x:v>
      </x:c>
      <x:c r="M15" s="21" t="s">
        <x:v>65</x:v>
      </x:c>
      <x:c r="N15" s="26" t="n">
        <x:f>COUNTIF(tblTasks[Status], "Completed")</x:f>
        <x:v>5</x:v>
      </x:c>
      <x:c r="T15" s="47" t="n">
        <x:f>IF(OR('Task List'!$Q16="Overdue",'Task List'!$J16="Blocked"),7,1E+99)</x:f>
        <x:v>1e+99</x:v>
      </x:c>
      <x:c r="U15" s="47" t="n">
        <x:f>IF(AND('Task List'!$N16="Yes",'Task List'!$J16&lt;&gt;"Completed",'Task List'!$B16&lt;&gt;""),'Task List'!$H16+7/100000,1E+99)</x:f>
        <x:v>1e+99</x:v>
      </x:c>
      <x:c r="V15" s="47" t="n">
        <x:f>IF(AND('Task List'!$N16="Yes",'Task List'!$B16&lt;&gt;""),'Task List'!$H16+7/100000,1E+99)</x:f>
        <x:v>1e+99</x:v>
      </x:c>
    </x:row>
    <x:row r="16">
      <x:c r="K16" t="str">
        <x:v>Check Dates</x:v>
      </x:c>
      <x:c r="M16" s="21" t="s">
        <x:v>92</x:v>
      </x:c>
      <x:c r="N16" s="26" t="n">
        <x:f>COUNTIF(tblTasks[Status], "In Progress")</x:f>
        <x:v>3</x:v>
      </x:c>
      <x:c r="T16" s="47" t="n">
        <x:f>IF(OR('Task List'!$Q17="Overdue",'Task List'!$J17="Blocked"),8,1E+99)</x:f>
        <x:v>1e+99</x:v>
      </x:c>
      <x:c r="U16" s="47" t="n">
        <x:f>IF(AND('Task List'!$N17="Yes",'Task List'!$J17&lt;&gt;"Completed",'Task List'!$B17&lt;&gt;""),'Task List'!$H17+8/100000,1E+99)</x:f>
        <x:v>1e+99</x:v>
      </x:c>
      <x:c r="V16" s="47" t="n">
        <x:f>IF(AND('Task List'!$N17="Yes",'Task List'!$B17&lt;&gt;""),'Task List'!$H17+8/100000,1E+99)</x:f>
        <x:v>1e+99</x:v>
      </x:c>
    </x:row>
    <x:row r="17">
      <x:c r="K17" t="str">
        <x:v>Check Completion</x:v>
      </x:c>
      <x:c r="M17" s="21" t="s">
        <x:v>110</x:v>
      </x:c>
      <x:c r="N17" s="26" t="n">
        <x:f>COUNTIF(tblTasks[Status], "Not Started")</x:f>
        <x:v>9</x:v>
      </x:c>
      <x:c r="T17" s="47" t="n">
        <x:f>IF(OR('Task List'!$Q18="Overdue",'Task List'!$J18="Blocked"),9,1E+99)</x:f>
        <x:v>1e+99</x:v>
      </x:c>
      <x:c r="U17" s="47" t="n">
        <x:f>IF(AND('Task List'!$N18="Yes",'Task List'!$J18&lt;&gt;"Completed",'Task List'!$B18&lt;&gt;""),'Task List'!$H18+9/100000,1E+99)</x:f>
        <x:v>46346.00009</x:v>
      </x:c>
      <x:c r="V17" s="47" t="n">
        <x:f>IF(AND('Task List'!$N18="Yes",'Task List'!$B18&lt;&gt;""),'Task List'!$H18+9/100000,1E+99)</x:f>
        <x:v>46346.00009</x:v>
      </x:c>
    </x:row>
    <x:row r="18">
      <x:c r="M18" s="21" t="s">
        <x:v>125</x:v>
      </x:c>
      <x:c r="N18" s="26" t="n">
        <x:f>COUNTIF(tblTasks[Status], "Blocked")</x:f>
        <x:v>1</x:v>
      </x:c>
      <x:c r="T18" s="47" t="n">
        <x:f>IF(OR('Task List'!$Q19="Overdue",'Task List'!$J19="Blocked"),10,1E+99)</x:f>
        <x:v>1e+99</x:v>
      </x:c>
      <x:c r="U18" s="47" t="n">
        <x:f>IF(AND('Task List'!$N19="Yes",'Task List'!$J19&lt;&gt;"Completed",'Task List'!$B19&lt;&gt;""),'Task List'!$H19+10/100000,1E+99)</x:f>
        <x:v>1e+99</x:v>
      </x:c>
      <x:c r="V18" s="47" t="n">
        <x:f>IF(AND('Task List'!$N19="Yes",'Task List'!$B19&lt;&gt;""),'Task List'!$H19+10/100000,1E+99)</x:f>
        <x:v>1e+99</x:v>
      </x:c>
    </x:row>
    <x:row r="19">
      <x:c r="M19" s="21" t="s">
        <x:v>180</x:v>
      </x:c>
      <x:c r="N19" s="26" t="n">
        <x:f>COUNTIF(tblTasks[Status], "On Hold")</x:f>
        <x:v>0</x:v>
      </x:c>
      <x:c r="T19" s="47" t="n">
        <x:f>IF(OR('Task List'!$Q20="Overdue",'Task List'!$J20="Blocked"),11,1E+99)</x:f>
        <x:v>1e+99</x:v>
      </x:c>
      <x:c r="U19" s="47" t="n">
        <x:f>IF(AND('Task List'!$N20="Yes",'Task List'!$J20&lt;&gt;"Completed",'Task List'!$B20&lt;&gt;""),'Task List'!$H20+11/100000,1E+99)</x:f>
        <x:v>1e+99</x:v>
      </x:c>
      <x:c r="V19" s="47" t="n">
        <x:f>IF(AND('Task List'!$N20="Yes",'Task List'!$B20&lt;&gt;""),'Task List'!$H20+11/100000,1E+99)</x:f>
        <x:v>1e+99</x:v>
      </x:c>
    </x:row>
    <x:row r="20">
      <x:c r="T20" s="47" t="n">
        <x:f>IF(OR('Task List'!$Q21="Overdue",'Task List'!$J21="Blocked"),12,1E+99)</x:f>
        <x:v>12</x:v>
      </x:c>
      <x:c r="U20" s="47" t="n">
        <x:f>IF(AND('Task List'!$N21="Yes",'Task List'!$J21&lt;&gt;"Completed",'Task List'!$B21&lt;&gt;""),'Task List'!$H21+12/100000,1E+99)</x:f>
        <x:v>1e+99</x:v>
      </x:c>
      <x:c r="V20" s="47" t="n">
        <x:f>IF(AND('Task List'!$N21="Yes",'Task List'!$B21&lt;&gt;""),'Task List'!$H21+12/100000,1E+99)</x:f>
        <x:v>1e+99</x:v>
      </x:c>
    </x:row>
    <x:row r="21">
      <x:c r="T21" s="47" t="n">
        <x:f>IF(OR('Task List'!$Q22="Overdue",'Task List'!$J22="Blocked"),13,1E+99)</x:f>
        <x:v>1e+99</x:v>
      </x:c>
      <x:c r="U21" s="47" t="n">
        <x:f>IF(AND('Task List'!$N22="Yes",'Task List'!$J22&lt;&gt;"Completed",'Task List'!$B22&lt;&gt;""),'Task List'!$H22+13/100000,1E+99)</x:f>
        <x:v>46374.00013</x:v>
      </x:c>
      <x:c r="V21" s="47" t="n">
        <x:f>IF(AND('Task List'!$N22="Yes",'Task List'!$B22&lt;&gt;""),'Task List'!$H22+13/100000,1E+99)</x:f>
        <x:v>46374.00013</x:v>
      </x:c>
    </x:row>
    <x:row r="22">
      <x:c r="T22" s="47" t="n">
        <x:f>IF(OR('Task List'!$Q23="Overdue",'Task List'!$J23="Blocked"),14,1E+99)</x:f>
        <x:v>1e+99</x:v>
      </x:c>
      <x:c r="U22" s="47" t="n">
        <x:f>IF(AND('Task List'!$N23="Yes",'Task List'!$J23&lt;&gt;"Completed",'Task List'!$B23&lt;&gt;""),'Task List'!$H23+14/100000,1E+99)</x:f>
        <x:v>1e+99</x:v>
      </x:c>
      <x:c r="V22" s="47" t="n">
        <x:f>IF(AND('Task List'!$N23="Yes",'Task List'!$B23&lt;&gt;""),'Task List'!$H23+14/100000,1E+99)</x:f>
        <x:v>1e+99</x:v>
      </x:c>
    </x:row>
    <x:row r="23">
      <x:c r="M23" s="20" t="s">
        <x:v>168</x:v>
      </x:c>
      <x:c r="N23" s="20" t="s">
        <x:v>182</x:v>
      </x:c>
      <x:c r="O23" s="20" t="s">
        <x:v>65</x:v>
      </x:c>
      <x:c r="P23" s="20" t="s">
        <x:v>183</x:v>
      </x:c>
      <x:c r="T23" s="47" t="n">
        <x:f>IF(OR('Task List'!$Q24="Overdue",'Task List'!$J24="Blocked"),15,1E+99)</x:f>
        <x:v>1e+99</x:v>
      </x:c>
      <x:c r="U23" s="47" t="n">
        <x:f>IF(AND('Task List'!$N24="Yes",'Task List'!$J24&lt;&gt;"Completed",'Task List'!$B24&lt;&gt;""),'Task List'!$H24+15/100000,1E+99)</x:f>
        <x:v>1e+99</x:v>
      </x:c>
      <x:c r="V23" s="47" t="n">
        <x:f>IF(AND('Task List'!$N24="Yes",'Task List'!$B24&lt;&gt;""),'Task List'!$H24+15/100000,1E+99)</x:f>
        <x:v>1e+99</x:v>
      </x:c>
    </x:row>
    <x:row r="24">
      <x:c r="M24" s="21" t="s">
        <x:v>61</x:v>
      </x:c>
      <x:c r="N24" s="26" t="n">
        <x:f>COUNTIF(tblTasks[Phase], "Discovery")</x:f>
        <x:v>3</x:v>
      </x:c>
      <x:c r="O24" s="26" t="n">
        <x:f>COUNTIFS(tblTasks[Phase], "Discovery", tblTasks[Status], "Completed")</x:f>
        <x:v>3</x:v>
      </x:c>
      <x:c r="P24" s="25" t="n">
        <x:f>IF(N24=0, 0, AVERAGEIFS(tblTasks[Completion %], tblTasks[Phase], "Discovery"))</x:f>
        <x:v>1</x:v>
      </x:c>
      <x:c r="T24" s="47" t="n">
        <x:f>IF(OR('Task List'!$Q25="Overdue",'Task List'!$J25="Blocked"),16,1E+99)</x:f>
        <x:v>1e+99</x:v>
      </x:c>
      <x:c r="U24" s="47" t="n">
        <x:f>IF(AND('Task List'!$N25="Yes",'Task List'!$J25&lt;&gt;"Completed",'Task List'!$B25&lt;&gt;""),'Task List'!$H25+16/100000,1E+99)</x:f>
        <x:v>46393.00016</x:v>
      </x:c>
      <x:c r="V24" s="47" t="n">
        <x:f>IF(AND('Task List'!$N25="Yes",'Task List'!$B25&lt;&gt;""),'Task List'!$H25+16/100000,1E+99)</x:f>
        <x:v>46393.00016</x:v>
      </x:c>
    </x:row>
    <x:row r="25">
      <x:c r="M25" s="21" t="s">
        <x:v>83</x:v>
      </x:c>
      <x:c r="N25" s="26" t="n">
        <x:f>COUNTIF(tblTasks[Phase], "Planning")</x:f>
        <x:v>3</x:v>
      </x:c>
      <x:c r="O25" s="26" t="n">
        <x:f>COUNTIFS(tblTasks[Phase], "Planning", tblTasks[Status], "Completed")</x:f>
        <x:v>2</x:v>
      </x:c>
      <x:c r="P25" s="25" t="n">
        <x:f>IF(N25=0, 0, AVERAGEIFS(tblTasks[Completion %], tblTasks[Phase], "Planning"))</x:f>
        <x:v>0.9333333333333332</x:v>
      </x:c>
      <x:c r="T25" s="47" t="n">
        <x:f>IF(OR('Task List'!$Q26="Overdue",'Task List'!$J26="Blocked"),17,1E+99)</x:f>
        <x:v>1e+99</x:v>
      </x:c>
      <x:c r="U25" s="47" t="n">
        <x:f>IF(AND('Task List'!$N26="Yes",'Task List'!$J26&lt;&gt;"Completed",'Task List'!$B26&lt;&gt;""),'Task List'!$H26+17/100000,1E+99)</x:f>
        <x:v>1e+99</x:v>
      </x:c>
      <x:c r="V25" s="47" t="n">
        <x:f>IF(AND('Task List'!$N26="Yes",'Task List'!$B26&lt;&gt;""),'Task List'!$H26+17/100000,1E+99)</x:f>
        <x:v>1e+99</x:v>
      </x:c>
    </x:row>
    <x:row r="26">
      <x:c r="M26" s="21" t="s">
        <x:v>99</x:v>
      </x:c>
      <x:c r="N26" s="26" t="n">
        <x:f>COUNTIF(tblTasks[Phase], "Design")</x:f>
        <x:v>3</x:v>
      </x:c>
      <x:c r="O26" s="26" t="n">
        <x:f>COUNTIFS(tblTasks[Phase], "Design", tblTasks[Status], "Completed")</x:f>
        <x:v>0</x:v>
      </x:c>
      <x:c r="P26" s="25" t="n">
        <x:f>IF(N26=0, 0, AVERAGEIFS(tblTasks[Completion %], tblTasks[Phase], "Design"))</x:f>
        <x:v>0.2833333333333333</x:v>
      </x:c>
      <x:c r="T26" s="47" t="n">
        <x:f>IF(OR('Task List'!$Q27="Overdue",'Task List'!$J27="Blocked"),18,1E+99)</x:f>
        <x:v>1e+99</x:v>
      </x:c>
      <x:c r="U26" s="47" t="n">
        <x:f>IF(AND('Task List'!$N27="Yes",'Task List'!$J27&lt;&gt;"Completed",'Task List'!$B27&lt;&gt;""),'Task List'!$H27+18/100000,1E+99)</x:f>
        <x:v>46402.00018</x:v>
      </x:c>
      <x:c r="V26" s="47" t="n">
        <x:f>IF(AND('Task List'!$N27="Yes",'Task List'!$B27&lt;&gt;""),'Task List'!$H27+18/100000,1E+99)</x:f>
        <x:v>46402.00018</x:v>
      </x:c>
    </x:row>
    <x:row r="27">
      <x:c r="M27" s="21" t="s">
        <x:v>113</x:v>
      </x:c>
      <x:c r="N27" s="26" t="n">
        <x:f>COUNTIF(tblTasks[Phase], "Build")</x:f>
        <x:v>4</x:v>
      </x:c>
      <x:c r="O27" s="26" t="n">
        <x:f>COUNTIFS(tblTasks[Phase], "Build", tblTasks[Status], "Completed")</x:f>
        <x:v>0</x:v>
      </x:c>
      <x:c r="P27" s="25" t="n">
        <x:f>IF(N27=0, 0, AVERAGEIFS(tblTasks[Completion %], tblTasks[Phase], "Build"))</x:f>
        <x:v>0.0375</x:v>
      </x:c>
      <x:c r="T27" s="47" t="n">
        <x:f>IF(OR('Task List'!$Q28="Overdue",'Task List'!$J28="Blocked"),19,1E+99)</x:f>
        <x:v>1e+99</x:v>
      </x:c>
      <x:c r="U27" s="47" t="n">
        <x:f>IF(AND('Task List'!$N28="Yes",'Task List'!$J28&lt;&gt;"Completed",'Task List'!$B28&lt;&gt;""),'Task List'!$H28+19/100000,1E+99)</x:f>
        <x:v>1e+99</x:v>
      </x:c>
      <x:c r="V27" s="47" t="n">
        <x:f>IF(AND('Task List'!$N28="Yes",'Task List'!$B28&lt;&gt;""),'Task List'!$H28+19/100000,1E+99)</x:f>
        <x:v>1e+99</x:v>
      </x:c>
    </x:row>
    <x:row r="28">
      <x:c r="M28" s="21" t="s">
        <x:v>132</x:v>
      </x:c>
      <x:c r="N28" s="26" t="n">
        <x:f>COUNTIF(tblTasks[Phase], "Testing")</x:f>
        <x:v>3</x:v>
      </x:c>
      <x:c r="O28" s="26" t="n">
        <x:f>COUNTIFS(tblTasks[Phase], "Testing", tblTasks[Status], "Completed")</x:f>
        <x:v>0</x:v>
      </x:c>
      <x:c r="P28" s="25" t="n">
        <x:f>IF(N28=0, 0, AVERAGEIFS(tblTasks[Completion %], tblTasks[Phase], "Testing"))</x:f>
        <x:v>0</x:v>
      </x:c>
      <x:c r="T28" s="47" t="n">
        <x:f>IF(OR('Task List'!$Q29="Overdue",'Task List'!$J29="Blocked"),20,1E+99)</x:f>
        <x:v>1e+99</x:v>
      </x:c>
      <x:c r="U28" s="47" t="n">
        <x:f>IF(AND('Task List'!$N29="Yes",'Task List'!$J29&lt;&gt;"Completed",'Task List'!$B29&lt;&gt;""),'Task List'!$H29+20/100000,1E+99)</x:f>
        <x:v>1e+99</x:v>
      </x:c>
      <x:c r="V28" s="47" t="n">
        <x:f>IF(AND('Task List'!$N29="Yes",'Task List'!$B29&lt;&gt;""),'Task List'!$H29+20/100000,1E+99)</x:f>
        <x:v>1e+99</x:v>
      </x:c>
    </x:row>
    <x:row r="29">
      <x:c r="M29" s="21" t="s">
        <x:v>145</x:v>
      </x:c>
      <x:c r="N29" s="26" t="n">
        <x:f>COUNTIF(tblTasks[Phase], "Launch")</x:f>
        <x:v>2</x:v>
      </x:c>
      <x:c r="O29" s="26" t="n">
        <x:f>COUNTIFS(tblTasks[Phase], "Launch", tblTasks[Status], "Completed")</x:f>
        <x:v>0</x:v>
      </x:c>
      <x:c r="P29" s="25" t="n">
        <x:f>IF(N29=0, 0, AVERAGEIFS(tblTasks[Completion %], tblTasks[Phase], "Launch"))</x:f>
        <x:v>0</x:v>
      </x:c>
      <x:c r="T29" s="47" t="n">
        <x:f>IF(OR('Task List'!$Q30="Overdue",'Task List'!$J30="Blocked"),21,1E+99)</x:f>
        <x:v>1e+99</x:v>
      </x:c>
      <x:c r="U29" s="47" t="n">
        <x:f>IF(AND('Task List'!$N30="Yes",'Task List'!$J30&lt;&gt;"Completed",'Task List'!$B30&lt;&gt;""),'Task List'!$H30+21/100000,1E+99)</x:f>
        <x:v>1e+99</x:v>
      </x:c>
      <x:c r="V29" s="47" t="n">
        <x:f>IF(AND('Task List'!$N30="Yes",'Task List'!$B30&lt;&gt;""),'Task List'!$H30+21/100000,1E+99)</x:f>
        <x:v>1e+99</x:v>
      </x:c>
    </x:row>
    <x:row r="30">
      <x:c r="T30" s="47" t="n">
        <x:f>IF(OR('Task List'!$Q31="Overdue",'Task List'!$J31="Blocked"),22,1E+99)</x:f>
        <x:v>1e+99</x:v>
      </x:c>
      <x:c r="U30" s="47" t="n">
        <x:f>IF(AND('Task List'!$N31="Yes",'Task List'!$J31&lt;&gt;"Completed",'Task List'!$B31&lt;&gt;""),'Task List'!$H31+22/100000,1E+99)</x:f>
        <x:v>1e+99</x:v>
      </x:c>
      <x:c r="V30" s="47" t="n">
        <x:f>IF(AND('Task List'!$N31="Yes",'Task List'!$B31&lt;&gt;""),'Task List'!$H31+22/100000,1E+99)</x:f>
        <x:v>1e+99</x:v>
      </x:c>
    </x:row>
    <x:row r="31">
      <x:c r="T31" s="47" t="n">
        <x:f>IF(OR('Task List'!$Q32="Overdue",'Task List'!$J32="Blocked"),23,1E+99)</x:f>
        <x:v>1e+99</x:v>
      </x:c>
      <x:c r="U31" s="47" t="n">
        <x:f>IF(AND('Task List'!$N32="Yes",'Task List'!$J32&lt;&gt;"Completed",'Task List'!$B32&lt;&gt;""),'Task List'!$H32+23/100000,1E+99)</x:f>
        <x:v>1e+99</x:v>
      </x:c>
      <x:c r="V31" s="47" t="n">
        <x:f>IF(AND('Task List'!$N32="Yes",'Task List'!$B32&lt;&gt;""),'Task List'!$H32+23/100000,1E+99)</x:f>
        <x:v>1e+99</x:v>
      </x:c>
    </x:row>
    <x:row r="32">
      <x:c r="T32" s="47" t="n">
        <x:f>IF(OR('Task List'!$Q33="Overdue",'Task List'!$J33="Blocked"),24,1E+99)</x:f>
        <x:v>1e+99</x:v>
      </x:c>
      <x:c r="U32" s="47" t="n">
        <x:f>IF(AND('Task List'!$N33="Yes",'Task List'!$J33&lt;&gt;"Completed",'Task List'!$B33&lt;&gt;""),'Task List'!$H33+24/100000,1E+99)</x:f>
        <x:v>1e+99</x:v>
      </x:c>
      <x:c r="V32" s="47" t="n">
        <x:f>IF(AND('Task List'!$N33="Yes",'Task List'!$B33&lt;&gt;""),'Task List'!$H33+24/100000,1E+99)</x:f>
        <x:v>1e+99</x:v>
      </x:c>
    </x:row>
    <x:row r="33">
      <x:c r="T33" s="47" t="n">
        <x:f>IF(OR('Task List'!$Q34="Overdue",'Task List'!$J34="Blocked"),25,1E+99)</x:f>
        <x:v>1e+99</x:v>
      </x:c>
      <x:c r="U33" s="47" t="n">
        <x:f>IF(AND('Task List'!$N34="Yes",'Task List'!$J34&lt;&gt;"Completed",'Task List'!$B34&lt;&gt;""),'Task List'!$H34+25/100000,1E+99)</x:f>
        <x:v>1e+99</x:v>
      </x:c>
      <x:c r="V33" s="47" t="n">
        <x:f>IF(AND('Task List'!$N34="Yes",'Task List'!$B34&lt;&gt;""),'Task List'!$H34+25/100000,1E+99)</x:f>
        <x:v>1e+99</x:v>
      </x:c>
    </x:row>
    <x:row r="34">
      <x:c r="T34" s="47" t="n">
        <x:f>IF(OR('Task List'!$Q35="Overdue",'Task List'!$J35="Blocked"),26,1E+99)</x:f>
        <x:v>1e+99</x:v>
      </x:c>
      <x:c r="U34" s="47" t="n">
        <x:f>IF(AND('Task List'!$N35="Yes",'Task List'!$J35&lt;&gt;"Completed",'Task List'!$B35&lt;&gt;""),'Task List'!$H35+26/100000,1E+99)</x:f>
        <x:v>1e+99</x:v>
      </x:c>
      <x:c r="V34" s="47" t="n">
        <x:f>IF(AND('Task List'!$N35="Yes",'Task List'!$B35&lt;&gt;""),'Task List'!$H35+26/100000,1E+99)</x:f>
        <x:v>1e+99</x:v>
      </x:c>
    </x:row>
    <x:row r="35">
      <x:c r="T35" s="47" t="n">
        <x:f>IF(OR('Task List'!$Q36="Overdue",'Task List'!$J36="Blocked"),27,1E+99)</x:f>
        <x:v>1e+99</x:v>
      </x:c>
      <x:c r="U35" s="47" t="n">
        <x:f>IF(AND('Task List'!$N36="Yes",'Task List'!$J36&lt;&gt;"Completed",'Task List'!$B36&lt;&gt;""),'Task List'!$H36+27/100000,1E+99)</x:f>
        <x:v>1e+99</x:v>
      </x:c>
      <x:c r="V35" s="47" t="n">
        <x:f>IF(AND('Task List'!$N36="Yes",'Task List'!$B36&lt;&gt;""),'Task List'!$H36+27/100000,1E+99)</x:f>
        <x:v>1e+99</x:v>
      </x:c>
    </x:row>
    <x:row r="36">
      <x:c r="T36" s="47" t="n">
        <x:f>IF(OR('Task List'!$Q37="Overdue",'Task List'!$J37="Blocked"),28,1E+99)</x:f>
        <x:v>1e+99</x:v>
      </x:c>
      <x:c r="U36" s="47" t="n">
        <x:f>IF(AND('Task List'!$N37="Yes",'Task List'!$J37&lt;&gt;"Completed",'Task List'!$B37&lt;&gt;""),'Task List'!$H37+28/100000,1E+99)</x:f>
        <x:v>1e+99</x:v>
      </x:c>
      <x:c r="V36" s="47" t="n">
        <x:f>IF(AND('Task List'!$N37="Yes",'Task List'!$B37&lt;&gt;""),'Task List'!$H37+28/100000,1E+99)</x:f>
        <x:v>1e+99</x:v>
      </x:c>
    </x:row>
    <x:row r="37">
      <x:c r="T37" s="47" t="n">
        <x:f>IF(OR('Task List'!$Q38="Overdue",'Task List'!$J38="Blocked"),29,1E+99)</x:f>
        <x:v>1e+99</x:v>
      </x:c>
      <x:c r="U37" s="47" t="n">
        <x:f>IF(AND('Task List'!$N38="Yes",'Task List'!$J38&lt;&gt;"Completed",'Task List'!$B38&lt;&gt;""),'Task List'!$H38+29/100000,1E+99)</x:f>
        <x:v>1e+99</x:v>
      </x:c>
      <x:c r="V37" s="47" t="n">
        <x:f>IF(AND('Task List'!$N38="Yes",'Task List'!$B38&lt;&gt;""),'Task List'!$H38+29/100000,1E+99)</x:f>
        <x:v>1e+99</x:v>
      </x:c>
    </x:row>
    <x:row r="38">
      <x:c r="T38" s="47" t="n">
        <x:f>IF(OR('Task List'!$Q39="Overdue",'Task List'!$J39="Blocked"),30,1E+99)</x:f>
        <x:v>1e+99</x:v>
      </x:c>
      <x:c r="U38" s="47" t="n">
        <x:f>IF(AND('Task List'!$N39="Yes",'Task List'!$J39&lt;&gt;"Completed",'Task List'!$B39&lt;&gt;""),'Task List'!$H39+30/100000,1E+99)</x:f>
        <x:v>1e+99</x:v>
      </x:c>
      <x:c r="V38" s="47" t="n">
        <x:f>IF(AND('Task List'!$N39="Yes",'Task List'!$B39&lt;&gt;""),'Task List'!$H39+30/100000,1E+99)</x:f>
        <x:v>1e+99</x:v>
      </x:c>
    </x:row>
    <x:row r="39">
      <x:c r="T39" s="47" t="n">
        <x:f>IF(OR('Task List'!$Q40="Overdue",'Task List'!$J40="Blocked"),31,1E+99)</x:f>
        <x:v>1e+99</x:v>
      </x:c>
      <x:c r="U39" s="47" t="n">
        <x:f>IF(AND('Task List'!$N40="Yes",'Task List'!$J40&lt;&gt;"Completed",'Task List'!$B40&lt;&gt;""),'Task List'!$H40+31/100000,1E+99)</x:f>
        <x:v>1e+99</x:v>
      </x:c>
      <x:c r="V39" s="47" t="n">
        <x:f>IF(AND('Task List'!$N40="Yes",'Task List'!$B40&lt;&gt;""),'Task List'!$H40+31/100000,1E+99)</x:f>
        <x:v>1e+99</x:v>
      </x:c>
    </x:row>
    <x:row r="40">
      <x:c r="T40" s="47" t="n">
        <x:f>IF(OR('Task List'!$Q41="Overdue",'Task List'!$J41="Blocked"),32,1E+99)</x:f>
        <x:v>1e+99</x:v>
      </x:c>
      <x:c r="U40" s="47" t="n">
        <x:f>IF(AND('Task List'!$N41="Yes",'Task List'!$J41&lt;&gt;"Completed",'Task List'!$B41&lt;&gt;""),'Task List'!$H41+32/100000,1E+99)</x:f>
        <x:v>1e+99</x:v>
      </x:c>
      <x:c r="V40" s="47" t="n">
        <x:f>IF(AND('Task List'!$N41="Yes",'Task List'!$B41&lt;&gt;""),'Task List'!$H41+32/100000,1E+99)</x:f>
        <x:v>1e+99</x:v>
      </x:c>
    </x:row>
    <x:row r="41">
      <x:c r="T41" s="47" t="n">
        <x:f>IF(OR('Task List'!$Q42="Overdue",'Task List'!$J42="Blocked"),33,1E+99)</x:f>
        <x:v>1e+99</x:v>
      </x:c>
      <x:c r="U41" s="47" t="n">
        <x:f>IF(AND('Task List'!$N42="Yes",'Task List'!$J42&lt;&gt;"Completed",'Task List'!$B42&lt;&gt;""),'Task List'!$H42+33/100000,1E+99)</x:f>
        <x:v>1e+99</x:v>
      </x:c>
      <x:c r="V41" s="47" t="n">
        <x:f>IF(AND('Task List'!$N42="Yes",'Task List'!$B42&lt;&gt;""),'Task List'!$H42+33/100000,1E+99)</x:f>
        <x:v>1e+99</x:v>
      </x:c>
    </x:row>
    <x:row r="42">
      <x:c r="T42" s="47" t="n">
        <x:f>IF(OR('Task List'!$Q43="Overdue",'Task List'!$J43="Blocked"),34,1E+99)</x:f>
        <x:v>1e+99</x:v>
      </x:c>
      <x:c r="U42" s="47" t="n">
        <x:f>IF(AND('Task List'!$N43="Yes",'Task List'!$J43&lt;&gt;"Completed",'Task List'!$B43&lt;&gt;""),'Task List'!$H43+34/100000,1E+99)</x:f>
        <x:v>1e+99</x:v>
      </x:c>
      <x:c r="V42" s="47" t="n">
        <x:f>IF(AND('Task List'!$N43="Yes",'Task List'!$B43&lt;&gt;""),'Task List'!$H43+34/100000,1E+99)</x:f>
        <x:v>1e+99</x:v>
      </x:c>
    </x:row>
    <x:row r="43">
      <x:c r="T43" s="47" t="n">
        <x:f>IF(OR('Task List'!$Q44="Overdue",'Task List'!$J44="Blocked"),35,1E+99)</x:f>
        <x:v>1e+99</x:v>
      </x:c>
      <x:c r="U43" s="47" t="n">
        <x:f>IF(AND('Task List'!$N44="Yes",'Task List'!$J44&lt;&gt;"Completed",'Task List'!$B44&lt;&gt;""),'Task List'!$H44+35/100000,1E+99)</x:f>
        <x:v>1e+99</x:v>
      </x:c>
      <x:c r="V43" s="47" t="n">
        <x:f>IF(AND('Task List'!$N44="Yes",'Task List'!$B44&lt;&gt;""),'Task List'!$H44+35/100000,1E+99)</x:f>
        <x:v>1e+99</x:v>
      </x:c>
    </x:row>
    <x:row r="44">
      <x:c r="T44" s="47" t="n">
        <x:f>IF(OR('Task List'!$Q45="Overdue",'Task List'!$J45="Blocked"),36,1E+99)</x:f>
        <x:v>1e+99</x:v>
      </x:c>
      <x:c r="U44" s="47" t="n">
        <x:f>IF(AND('Task List'!$N45="Yes",'Task List'!$J45&lt;&gt;"Completed",'Task List'!$B45&lt;&gt;""),'Task List'!$H45+36/100000,1E+99)</x:f>
        <x:v>1e+99</x:v>
      </x:c>
      <x:c r="V44" s="47" t="n">
        <x:f>IF(AND('Task List'!$N45="Yes",'Task List'!$B45&lt;&gt;""),'Task List'!$H45+36/100000,1E+99)</x:f>
        <x:v>1e+99</x:v>
      </x:c>
    </x:row>
    <x:row r="45">
      <x:c r="T45" s="47" t="n">
        <x:f>IF(OR('Task List'!$Q46="Overdue",'Task List'!$J46="Blocked"),37,1E+99)</x:f>
        <x:v>1e+99</x:v>
      </x:c>
      <x:c r="U45" s="47" t="n">
        <x:f>IF(AND('Task List'!$N46="Yes",'Task List'!$J46&lt;&gt;"Completed",'Task List'!$B46&lt;&gt;""),'Task List'!$H46+37/100000,1E+99)</x:f>
        <x:v>1e+99</x:v>
      </x:c>
      <x:c r="V45" s="47" t="n">
        <x:f>IF(AND('Task List'!$N46="Yes",'Task List'!$B46&lt;&gt;""),'Task List'!$H46+37/100000,1E+99)</x:f>
        <x:v>1e+99</x:v>
      </x:c>
    </x:row>
    <x:row r="46">
      <x:c r="T46" s="47" t="n">
        <x:f>IF(OR('Task List'!$Q47="Overdue",'Task List'!$J47="Blocked"),38,1E+99)</x:f>
        <x:v>1e+99</x:v>
      </x:c>
      <x:c r="U46" s="47" t="n">
        <x:f>IF(AND('Task List'!$N47="Yes",'Task List'!$J47&lt;&gt;"Completed",'Task List'!$B47&lt;&gt;""),'Task List'!$H47+38/100000,1E+99)</x:f>
        <x:v>1e+99</x:v>
      </x:c>
      <x:c r="V46" s="47" t="n">
        <x:f>IF(AND('Task List'!$N47="Yes",'Task List'!$B47&lt;&gt;""),'Task List'!$H47+38/100000,1E+99)</x:f>
        <x:v>1e+99</x:v>
      </x:c>
    </x:row>
    <x:row r="47">
      <x:c r="T47" s="47" t="n">
        <x:f>IF(OR('Task List'!$Q48="Overdue",'Task List'!$J48="Blocked"),39,1E+99)</x:f>
        <x:v>1e+99</x:v>
      </x:c>
      <x:c r="U47" s="47" t="n">
        <x:f>IF(AND('Task List'!$N48="Yes",'Task List'!$J48&lt;&gt;"Completed",'Task List'!$B48&lt;&gt;""),'Task List'!$H48+39/100000,1E+99)</x:f>
        <x:v>1e+99</x:v>
      </x:c>
      <x:c r="V47" s="47" t="n">
        <x:f>IF(AND('Task List'!$N48="Yes",'Task List'!$B48&lt;&gt;""),'Task List'!$H48+39/100000,1E+99)</x:f>
        <x:v>1e+99</x:v>
      </x:c>
    </x:row>
    <x:row r="48">
      <x:c r="T48" s="47" t="n">
        <x:f>IF(OR('Task List'!$Q49="Overdue",'Task List'!$J49="Blocked"),40,1E+99)</x:f>
        <x:v>1e+99</x:v>
      </x:c>
      <x:c r="U48" s="47" t="n">
        <x:f>IF(AND('Task List'!$N49="Yes",'Task List'!$J49&lt;&gt;"Completed",'Task List'!$B49&lt;&gt;""),'Task List'!$H49+40/100000,1E+99)</x:f>
        <x:v>1e+99</x:v>
      </x:c>
      <x:c r="V48" s="47" t="n">
        <x:f>IF(AND('Task List'!$N49="Yes",'Task List'!$B49&lt;&gt;""),'Task List'!$H49+40/100000,1E+99)</x:f>
        <x:v>1e+99</x:v>
      </x:c>
    </x:row>
    <x:row r="49">
      <x:c r="T49" s="47" t="n">
        <x:f>IF(OR('Task List'!$Q50="Overdue",'Task List'!$J50="Blocked"),41,1E+99)</x:f>
        <x:v>1e+99</x:v>
      </x:c>
      <x:c r="U49" s="47" t="n">
        <x:f>IF(AND('Task List'!$N50="Yes",'Task List'!$J50&lt;&gt;"Completed",'Task List'!$B50&lt;&gt;""),'Task List'!$H50+41/100000,1E+99)</x:f>
        <x:v>1e+99</x:v>
      </x:c>
      <x:c r="V49" s="47" t="n">
        <x:f>IF(AND('Task List'!$N50="Yes",'Task List'!$B50&lt;&gt;""),'Task List'!$H50+41/100000,1E+99)</x:f>
        <x:v>1e+99</x:v>
      </x:c>
    </x:row>
  </x:sheetData>
  <x:mergeCells>
    <x:mergeCell ref="B2:R2"/>
    <x:mergeCell ref="B12:D14"/>
  </x:mergeCells>
  <x:conditionalFormatting sqref="D10:D10">
    <x:cfRule type="cellIs" dxfId="0" priority="1" operator="equal">
      <x:formula>"On Track"</x:formula>
    </x:cfRule>
    <x:cfRule type="cellIs" dxfId="1" priority="2" operator="equal">
      <x:formula>"At Risk"</x:formula>
    </x:cfRule>
    <x:cfRule type="cellIs" dxfId="2" priority="3" operator="equal">
      <x:formula>"Off Track"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.7109375" customWidth="1"/>
    <x:col min="2" max="9" width="13.7109375" customWidth="1"/>
    <x:col min="10" max="10" width="4.7109375" customWidth="1"/>
  </x:cols>
  <x:sheetData>
    <x:row r="2">
      <x:c r="B2" s="1" t="s">
        <x:v>0</x:v>
      </x:c>
      <x:c r="C2" s="1"/>
      <x:c r="D2" s="1"/>
      <x:c r="E2" s="1"/>
      <x:c r="F2" s="1"/>
      <x:c r="G2" s="1"/>
      <x:c r="H2" s="1"/>
      <x:c r="I2" s="1"/>
      <x:c r="J2" s="1"/>
    </x:row>
    <x:row r="3">
      <x:c r="B3" s="3" t="s">
        <x:v>1</x:v>
      </x:c>
      <x:c r="C3" s="3" t="s">
        <x:v>2</x:v>
      </x:c>
      <x:c r="D3" s="3" t="s">
        <x:v>3</x:v>
      </x:c>
      <x:c r="E3" s="3" t="s">
        <x:v>4</x:v>
      </x:c>
      <x:c r="F3" s="3" t="s">
        <x:v>5</x:v>
      </x:c>
      <x:c r="G3" s="2" t="s">
        <x:v>6</x:v>
      </x:c>
    </x:row>
    <x:row r="4">
      <x:c r="B4" s="4" t="s">
        <x:v>184</x:v>
      </x:c>
    </x:row>
    <x:row r="5">
      <x:c r="B5" s="5" t="s">
        <x:v>185</x:v>
      </x:c>
    </x:row>
    <x:row r="6">
      <x:c r="B6" s="11" t="s">
        <x:v>186</x:v>
      </x:c>
      <x:c r="C6" s="11"/>
      <x:c r="D6" s="11"/>
      <x:c r="E6" s="11"/>
      <x:c r="F6" s="11"/>
      <x:c r="G6" s="11"/>
      <x:c r="H6" s="11"/>
      <x:c r="I6" s="11"/>
    </x:row>
    <x:row r="7" ht="22" customHeight="1">
      <x:c r="B7" s="14" t="str">
        <x:v>The Simple Office AI Project Timeline Template is a lightweight, macro-free project management workbook built for Excel 365. It gives small businesses, freelancers, operations leads, and project managers a practical Gantt-style planning system with a SaaS/ERP visual structure.
Key capabilities:
• 20-week Gantt view with weekly date columns and status-colored timeline bars.
• Master task database (tblTasks) with 41 prepared task rows, dropdowns, date validation, and schedule warnings.
• Formula-driven KPIs, charts, top action items, upcoming milestones, and project health.
• Dynamic milestone register supporting up to 15 milestones.
• Zero VBA, zero macros, zero paid plugins, and zero external connections.</x:v>
      </x:c>
      <x:c r="C7" s="14"/>
      <x:c r="D7" s="14"/>
      <x:c r="E7" s="14"/>
      <x:c r="F7" s="14"/>
      <x:c r="G7" s="14"/>
      <x:c r="H7" s="14"/>
      <x:c r="I7" s="14"/>
    </x:row>
    <x:row r="8" ht="112" customHeight="1">
      <x:c r="B8" s="14"/>
      <x:c r="C8" s="14"/>
      <x:c r="D8" s="14"/>
      <x:c r="E8" s="14"/>
      <x:c r="F8" s="14"/>
      <x:c r="G8" s="14"/>
      <x:c r="H8" s="14"/>
      <x:c r="I8" s="14"/>
    </x:row>
    <x:row r="9" ht="112" customHeight="1"/>
    <x:row r="10">
      <x:c r="B10" s="11" t="s">
        <x:v>187</x:v>
      </x:c>
      <x:c r="C10" s="11"/>
      <x:c r="D10" s="11"/>
      <x:c r="E10" s="11"/>
      <x:c r="F10" s="11"/>
      <x:c r="G10" s="11"/>
      <x:c r="H10" s="11"/>
      <x:c r="I10" s="11"/>
    </x:row>
    <x:row r="11" ht="22" customHeight="1">
      <x:c r="B11" s="14" t="str">
        <x:v>The workbook contains 6 worksheets in workflow order:
1. Dashboard: 8 KPIs, 3 charts, the top two overdue/blocked tasks, the next four milestones, and project health.
2. Project Timeline: 20-week Gantt view for up to 41 prepared task rows.
3. Task List: Main editable Excel table (tblTasks).
4. Milestones: Date-sorted register for up to 15 milestone tasks.
5. Settings: Project parameters, validation lists, and chart calculations.
6. Read Me: Usage instructions, rules, capacity, and limitations.</x:v>
      </x:c>
      <x:c r="C11" s="14"/>
      <x:c r="D11" s="14"/>
      <x:c r="E11" s="14"/>
      <x:c r="F11" s="14"/>
      <x:c r="G11" s="14"/>
      <x:c r="H11" s="14"/>
      <x:c r="I11" s="14"/>
    </x:row>
    <x:row r="12" ht="119" customHeight="1">
      <x:c r="B12" s="14"/>
      <x:c r="C12" s="14"/>
      <x:c r="D12" s="14"/>
      <x:c r="E12" s="14"/>
      <x:c r="F12" s="14"/>
      <x:c r="G12" s="14"/>
      <x:c r="H12" s="14"/>
      <x:c r="I12" s="14"/>
    </x:row>
    <x:row r="13" ht="119" customHeight="1"/>
    <x:row r="14">
      <x:c r="B14" s="11" t="s">
        <x:v>188</x:v>
      </x:c>
      <x:c r="C14" s="11"/>
      <x:c r="D14" s="11"/>
      <x:c r="E14" s="11"/>
      <x:c r="F14" s="11"/>
      <x:c r="G14" s="11"/>
      <x:c r="H14" s="11"/>
      <x:c r="I14" s="11"/>
    </x:row>
    <x:row r="15" ht="22" customHeight="1">
      <x:c r="B15" s="14" t="str">
        <x:v>To adapt this workbook:
Step 1: In Settings, update Project Name, Manager, Start Date, Target End Date, and Reporting Date.
Step 2: Update team members and phases in the lookup lists.
Step 3: Replace the sample task rows in Task List.
Step 4: Use the prepared rows through row 50. Formulas, validation, warnings, Dashboard metrics, Milestones, and Timeline links are already configured for these 41 task rows.
Step 5: Use YYYY-MM-DD dates. End Date cannot be earlier than Start Date.
Step 6: If more than 41 tasks, more than 15 milestones, or more than 20 timeline weeks are needed, extend the prepared ranges before entering additional records.</x:v>
      </x:c>
      <x:c r="C15" s="14"/>
      <x:c r="D15" s="14"/>
      <x:c r="E15" s="14"/>
      <x:c r="F15" s="14"/>
      <x:c r="G15" s="14"/>
      <x:c r="H15" s="14"/>
      <x:c r="I15" s="14"/>
    </x:row>
    <x:row r="16" ht="98" customHeight="1">
      <x:c r="B16" s="14"/>
      <x:c r="C16" s="14"/>
      <x:c r="D16" s="14"/>
      <x:c r="E16" s="14"/>
      <x:c r="F16" s="14"/>
      <x:c r="G16" s="14"/>
      <x:c r="H16" s="14"/>
      <x:c r="I16" s="14"/>
    </x:row>
    <x:row r="17" ht="98" customHeight="1"/>
    <x:row r="18">
      <x:c r="B18" s="11" t="s">
        <x:v>189</x:v>
      </x:c>
      <x:c r="C18" s="11"/>
      <x:c r="D18" s="11"/>
      <x:c r="E18" s="11"/>
      <x:c r="F18" s="11"/>
      <x:c r="G18" s="11"/>
      <x:c r="H18" s="11"/>
      <x:c r="I18" s="11"/>
    </x:row>
    <x:row r="19" ht="22" customHeight="1">
      <x:c r="B19" s="14" t="str">
        <x:v>Schedule Status uses this formula order:
• Check Dates: End Date is earlier than Start Date.
• Check Completion: Status is Completed but Completion % is not 100% or Actual Completion Date is blank.
• Completed: Completed with 100% and an Actual Completion Date.
• Blocked / On Hold: Reflects the selected Status.
• Overdue: End Date is earlier than Reporting Date and the task is incomplete.
• Due Soon: End Date falls within 7 calendar days of Reporting Date.
• In Progress / Not Started: Remaining operating states.
Duplicate Task IDs are highlighted because IDs are used for dependencies and lookups.</x:v>
      </x:c>
      <x:c r="C19" s="14"/>
      <x:c r="D19" s="14"/>
      <x:c r="E19" s="14"/>
      <x:c r="F19" s="14"/>
      <x:c r="G19" s="14"/>
      <x:c r="H19" s="14"/>
      <x:c r="I19" s="14"/>
    </x:row>
    <x:row r="20" ht="105" customHeight="1">
      <x:c r="B20" s="14"/>
      <x:c r="C20" s="14"/>
      <x:c r="D20" s="14"/>
      <x:c r="E20" s="14"/>
      <x:c r="F20" s="14"/>
      <x:c r="G20" s="14"/>
      <x:c r="H20" s="14"/>
      <x:c r="I20" s="14"/>
    </x:row>
    <x:row r="21" ht="105" customHeight="1"/>
    <x:row r="22">
      <x:c r="B22" s="11" t="s">
        <x:v>190</x:v>
      </x:c>
      <x:c r="C22" s="11"/>
      <x:c r="D22" s="11"/>
      <x:c r="E22" s="11"/>
      <x:c r="F22" s="11"/>
      <x:c r="G22" s="11"/>
      <x:c r="H22" s="11"/>
      <x:c r="I22" s="11"/>
    </x:row>
    <x:row r="23" ht="22" customHeight="1">
      <x:c r="B23" s="14" t="str">
        <x:v>Project Health is formula-driven:
• Not Started: No task IDs entered.
• On Track: No blocked or overdue tasks, and completion is not more than 10 percentage points behind elapsed schedule.
• At Risk: At least one blocked/overdue task, or completion is 10–20 percentage points behind elapsed schedule.
• Off Track: At least 2 blocked tasks, at least 3 overdue tasks, or completion is more than 20 percentage points behind elapsed schedule.
Elapsed schedule is bounded between 0% and 100% using Project Start, Target End, and Reporting Date. Formula: Settings!D10; Dashboard display: M6.</x:v>
      </x:c>
      <x:c r="C23" s="14"/>
      <x:c r="D23" s="14"/>
      <x:c r="E23" s="14"/>
      <x:c r="F23" s="14"/>
      <x:c r="G23" s="14"/>
      <x:c r="H23" s="14"/>
      <x:c r="I23" s="14"/>
    </x:row>
    <x:row r="24" ht="91" customHeight="1">
      <x:c r="B24" s="14"/>
      <x:c r="C24" s="14"/>
      <x:c r="D24" s="14"/>
      <x:c r="E24" s="14"/>
      <x:c r="F24" s="14"/>
      <x:c r="G24" s="14"/>
      <x:c r="H24" s="14"/>
      <x:c r="I24" s="14"/>
    </x:row>
    <x:row r="25" ht="91" customHeight="1"/>
    <x:row r="26">
      <x:c r="B26" s="11" t="s">
        <x:v>191</x:v>
      </x:c>
      <x:c r="C26" s="11"/>
      <x:c r="D26" s="11"/>
      <x:c r="E26" s="11"/>
      <x:c r="F26" s="11"/>
      <x:c r="G26" s="11"/>
      <x:c r="H26" s="11"/>
      <x:c r="I26" s="11"/>
    </x:row>
    <x:row r="27" ht="22" customHeight="1">
      <x:c r="B27" s="14" t="s">
        <x:v>192</x:v>
      </x:c>
      <x:c r="C27" s="14"/>
      <x:c r="D27" s="14"/>
      <x:c r="E27" s="14"/>
      <x:c r="F27" s="14"/>
      <x:c r="G27" s="14"/>
      <x:c r="H27" s="14"/>
      <x:c r="I27" s="14"/>
    </x:row>
    <x:row r="28" ht="119" customHeight="1">
      <x:c r="B28" s="14"/>
      <x:c r="C28" s="14"/>
      <x:c r="D28" s="14"/>
      <x:c r="E28" s="14"/>
      <x:c r="F28" s="14"/>
      <x:c r="G28" s="14"/>
      <x:c r="H28" s="14"/>
      <x:c r="I28" s="14"/>
    </x:row>
    <x:row r="29" ht="119" customHeight="1"/>
    <x:row r="30">
      <x:c r="B30" s="11" t="s">
        <x:v>193</x:v>
      </x:c>
      <x:c r="C30" s="11"/>
      <x:c r="D30" s="11"/>
      <x:c r="E30" s="11"/>
      <x:c r="F30" s="11"/>
      <x:c r="G30" s="11"/>
      <x:c r="H30" s="11"/>
      <x:c r="I30" s="11"/>
    </x:row>
    <x:row r="31" ht="22" customHeight="1">
      <x:c r="B31" s="14" t="str">
        <x:v>• Optimized for Microsoft Excel 365 and Excel 2021+.
• Macro-free and built with standard workbook formulas, tables, validation, charts, and conditional formatting.
• Prepared capacity: 41 tasks, 15 milestones, and a 20-week Gantt horizon.
• Google Sheets compatibility is not claimed until native conversion and testing are completed.
• The template supports operational planning; it does not replace enterprise project-management software with resource leveling and advanced dependency scheduling.
• Data safety: avoid entering passwords, payment-card data, government IDs, or other sensitive personal information into a shared copy.</x:v>
      </x:c>
      <x:c r="C31" s="14"/>
      <x:c r="D31" s="14"/>
      <x:c r="E31" s="14"/>
      <x:c r="F31" s="14"/>
      <x:c r="G31" s="14"/>
      <x:c r="H31" s="14"/>
      <x:c r="I31" s="14"/>
    </x:row>
    <x:row r="32" ht="56" customHeight="1">
      <x:c r="B32" s="14"/>
      <x:c r="C32" s="14"/>
      <x:c r="D32" s="14"/>
      <x:c r="E32" s="14"/>
      <x:c r="F32" s="14"/>
      <x:c r="G32" s="14"/>
      <x:c r="H32" s="14"/>
      <x:c r="I32" s="14"/>
    </x:row>
    <x:row r="33" ht="56" customHeight="1"/>
  </x:sheetData>
  <x:mergeCells>
    <x:mergeCell ref="B2:J2"/>
    <x:mergeCell ref="B6:I6"/>
    <x:mergeCell ref="B7:I8"/>
    <x:mergeCell ref="B10:I10"/>
    <x:mergeCell ref="B11:I12"/>
    <x:mergeCell ref="B14:I14"/>
    <x:mergeCell ref="B15:I16"/>
    <x:mergeCell ref="B18:I18"/>
    <x:mergeCell ref="B19:I20"/>
    <x:mergeCell ref="B22:I22"/>
    <x:mergeCell ref="B23:I24"/>
    <x:mergeCell ref="B26:I26"/>
    <x:mergeCell ref="B27:I28"/>
    <x:mergeCell ref="B30:I30"/>
    <x:mergeCell ref="B31:I32"/>
  </x:mergeCells>
  <x:pageMargins left="0.7" right="0.7" top="0.75" bottom="0.75" header="0.3" footer="0.3"/>
</x:worksheet>
</file>